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.edwards\Desktop\"/>
    </mc:Choice>
  </mc:AlternateContent>
  <xr:revisionPtr revIDLastSave="0" documentId="8_{876FFDEA-437E-4043-AF1E-E069017B25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ment Menu" sheetId="1" r:id="rId1"/>
    <sheet name="Dlr Fee Menu" sheetId="3" r:id="rId2"/>
    <sheet name="Terms" sheetId="2" state="hidden" r:id="rId3"/>
  </sheets>
  <definedNames>
    <definedName name="_xlnm.Print_Area" localSheetId="1">'Dlr Fee Menu'!$A$1:$J$37</definedName>
    <definedName name="_xlnm.Print_Area" localSheetId="0">'Payment Menu'!$A$1:$J$38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12" i="3"/>
  <c r="D11" i="3"/>
  <c r="D13" i="1"/>
  <c r="D6" i="1"/>
  <c r="B33" i="1"/>
  <c r="F25" i="1"/>
  <c r="I20" i="1"/>
  <c r="B22" i="1"/>
  <c r="I19" i="3"/>
  <c r="F19" i="3"/>
  <c r="F22" i="1"/>
  <c r="F20" i="1"/>
  <c r="B31" i="1"/>
  <c r="H20" i="3"/>
  <c r="B29" i="1"/>
  <c r="B33" i="3"/>
  <c r="B28" i="1"/>
  <c r="D26" i="3"/>
  <c r="D22" i="1"/>
  <c r="D19" i="3"/>
  <c r="B26" i="3"/>
  <c r="B34" i="3"/>
  <c r="D20" i="3"/>
  <c r="D25" i="1"/>
  <c r="H20" i="1"/>
  <c r="B31" i="3"/>
  <c r="H26" i="3"/>
  <c r="F20" i="3"/>
  <c r="B35" i="1"/>
  <c r="B17" i="1"/>
  <c r="I20" i="3"/>
  <c r="B32" i="3"/>
  <c r="F25" i="3"/>
  <c r="B26" i="1"/>
  <c r="I25" i="1"/>
  <c r="B34" i="1"/>
  <c r="B30" i="1"/>
  <c r="F19" i="1"/>
  <c r="B32" i="1"/>
  <c r="B29" i="3"/>
  <c r="B30" i="3"/>
  <c r="H26" i="1"/>
  <c r="B28" i="3"/>
  <c r="D20" i="1"/>
  <c r="I26" i="3"/>
  <c r="I25" i="3"/>
  <c r="B23" i="1"/>
  <c r="H19" i="3"/>
  <c r="H25" i="1"/>
  <c r="H19" i="1"/>
  <c r="H25" i="3"/>
  <c r="D26" i="1"/>
  <c r="I26" i="1"/>
  <c r="F26" i="1"/>
  <c r="D25" i="3"/>
  <c r="D19" i="1"/>
  <c r="B35" i="3"/>
  <c r="I19" i="1"/>
  <c r="B37" i="1"/>
  <c r="F26" i="3"/>
  <c r="D13" i="3" l="1"/>
  <c r="D6" i="3"/>
  <c r="D23" i="1"/>
  <c r="I23" i="1"/>
  <c r="D34" i="1"/>
  <c r="D35" i="1"/>
  <c r="I28" i="1"/>
  <c r="B22" i="3"/>
  <c r="H22" i="1"/>
  <c r="D28" i="1"/>
  <c r="I31" i="1"/>
  <c r="F23" i="3"/>
  <c r="I32" i="1"/>
  <c r="F23" i="1"/>
  <c r="H22" i="3"/>
  <c r="B23" i="3"/>
  <c r="F30" i="1"/>
  <c r="D30" i="1"/>
  <c r="D29" i="1"/>
  <c r="I34" i="1"/>
  <c r="F28" i="3"/>
  <c r="H23" i="1"/>
  <c r="D23" i="3"/>
  <c r="D31" i="3"/>
  <c r="F30" i="3"/>
  <c r="D34" i="3"/>
  <c r="I35" i="1"/>
  <c r="F35" i="1"/>
  <c r="F33" i="1"/>
  <c r="F22" i="3"/>
  <c r="D32" i="1"/>
  <c r="D31" i="1"/>
  <c r="B37" i="3"/>
  <c r="H23" i="3"/>
  <c r="D30" i="3"/>
  <c r="I33" i="1"/>
  <c r="F29" i="1"/>
  <c r="I23" i="3"/>
  <c r="D33" i="3"/>
  <c r="F34" i="3"/>
  <c r="D33" i="1"/>
  <c r="I22" i="3"/>
  <c r="F32" i="1"/>
  <c r="H34" i="1"/>
  <c r="H28" i="3"/>
  <c r="H32" i="1"/>
  <c r="I32" i="3"/>
  <c r="H30" i="1"/>
  <c r="B17" i="3"/>
  <c r="D22" i="3"/>
  <c r="I31" i="3"/>
  <c r="I30" i="1"/>
  <c r="I29" i="1"/>
  <c r="F35" i="3"/>
  <c r="H33" i="3"/>
  <c r="H28" i="1"/>
  <c r="I22" i="1"/>
  <c r="I33" i="3"/>
  <c r="F31" i="1"/>
  <c r="H31" i="1"/>
  <c r="I34" i="3"/>
  <c r="F33" i="3"/>
  <c r="F32" i="3"/>
  <c r="F31" i="3"/>
  <c r="F29" i="3"/>
  <c r="F28" i="1"/>
  <c r="F34" i="1"/>
  <c r="H33" i="1"/>
  <c r="H29" i="1"/>
  <c r="H35" i="1"/>
  <c r="D29" i="3"/>
  <c r="D35" i="3"/>
  <c r="D32" i="3"/>
  <c r="D28" i="3"/>
  <c r="H32" i="3"/>
  <c r="H31" i="3"/>
  <c r="H29" i="3"/>
  <c r="H35" i="3"/>
  <c r="H34" i="3"/>
  <c r="H30" i="3"/>
  <c r="I29" i="3"/>
  <c r="I28" i="3"/>
  <c r="I30" i="3"/>
  <c r="I35" i="3"/>
</calcChain>
</file>

<file path=xl/sharedStrings.xml><?xml version="1.0" encoding="utf-8"?>
<sst xmlns="http://schemas.openxmlformats.org/spreadsheetml/2006/main" count="35" uniqueCount="27">
  <si>
    <t>Descr</t>
  </si>
  <si>
    <t>Term</t>
  </si>
  <si>
    <t>MaxPmts</t>
  </si>
  <si>
    <t>MinDown</t>
  </si>
  <si>
    <t>12 Months</t>
  </si>
  <si>
    <t>24 Months</t>
  </si>
  <si>
    <t>36 Months</t>
  </si>
  <si>
    <t>48 Months</t>
  </si>
  <si>
    <t>+</t>
  </si>
  <si>
    <t>=</t>
  </si>
  <si>
    <t>months</t>
  </si>
  <si>
    <t>Sales Tax (if applicable):</t>
  </si>
  <si>
    <t>Total Sales Price:</t>
  </si>
  <si>
    <t>ZERO Plan Payment Options</t>
  </si>
  <si>
    <t>72 Months</t>
  </si>
  <si>
    <t>84 Months</t>
  </si>
  <si>
    <t>A</t>
  </si>
  <si>
    <t>B</t>
  </si>
  <si>
    <t>C</t>
  </si>
  <si>
    <t>D</t>
  </si>
  <si>
    <t>Pterm</t>
  </si>
  <si>
    <t>Shortest VSC Term:</t>
  </si>
  <si>
    <t>List1</t>
  </si>
  <si>
    <t>List2</t>
  </si>
  <si>
    <t>Dlr Fee Level:</t>
  </si>
  <si>
    <t>60 Months</t>
  </si>
  <si>
    <t>Sale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</si>
</sst>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Rockwell"/>
      <family val="1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Franklin Gothic Heavy"/>
      <family val="2"/>
    </font>
    <font>
      <b/>
      <i/>
      <sz val="9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 vertical="center"/>
    </xf>
    <xf numFmtId="43" fontId="4" fillId="0" borderId="2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/>
    <xf numFmtId="43" fontId="7" fillId="0" borderId="0" xfId="1" applyFont="1"/>
    <xf numFmtId="0" fontId="7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9" fontId="10" fillId="0" borderId="0" xfId="2" quotePrefix="1" applyFont="1" applyAlignment="1">
      <alignment horizontal="center"/>
    </xf>
    <xf numFmtId="0" fontId="5" fillId="0" borderId="0" xfId="0" applyFont="1" applyAlignment="1">
      <alignment horizontal="center"/>
    </xf>
    <xf numFmtId="9" fontId="10" fillId="0" borderId="0" xfId="2" applyFont="1" applyAlignment="1">
      <alignment horizontal="center"/>
    </xf>
    <xf numFmtId="0" fontId="7" fillId="0" borderId="1" xfId="0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vertical="center"/>
      <protection locked="0"/>
    </xf>
    <xf numFmtId="43" fontId="4" fillId="0" borderId="0" xfId="1" applyFont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right" vertical="center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0" fillId="0" borderId="0" xfId="0" quotePrefix="1"/>
    <xf numFmtId="2" fontId="13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0" xfId="1" applyFont="1" applyAlignment="1" applyProtection="1">
      <alignment vertical="center"/>
    </xf>
    <xf numFmtId="0" fontId="4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4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>
          <bgColor rgb="FFC0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rgb="FFC0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94072</xdr:rowOff>
    </xdr:from>
    <xdr:to>
      <xdr:col>1</xdr:col>
      <xdr:colOff>2076450</xdr:colOff>
      <xdr:row>5</xdr:row>
      <xdr:rowOff>113986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480D4-AD96-44E3-91F0-EA7FFBB46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4072"/>
          <a:ext cx="1962150" cy="101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94072</xdr:rowOff>
    </xdr:from>
    <xdr:to>
      <xdr:col>1</xdr:col>
      <xdr:colOff>2076450</xdr:colOff>
      <xdr:row>5</xdr:row>
      <xdr:rowOff>113986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BFB77-9DE4-448E-B8F7-2E4AB887F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4072"/>
          <a:ext cx="1962150" cy="1010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erms" displayName="Terms" ref="A2:E9" totalsRowShown="0">
  <autoFilter ref="A2:E9" xr:uid="{85C3BA78-DDD2-445D-90B2-0D32803F921B}"/>
  <tableColumns count="5">
    <tableColumn id="1" xr3:uid="{00000000-0010-0000-0000-000001000000}" name="List1"/>
    <tableColumn id="6" xr3:uid="{9CAA5375-9B03-432C-AC2A-A17249014C81}" name="Term"/>
    <tableColumn id="2" xr3:uid="{00000000-0010-0000-0000-000002000000}" name="Descr"/>
    <tableColumn id="4" xr3:uid="{00000000-0010-0000-0000-000004000000}" name="MaxPmts"/>
    <tableColumn id="5" xr3:uid="{00000000-0010-0000-0000-000005000000}" name="MinDow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B3340D-06F7-45DE-B9AD-01C59205E08A}" name="Terms3" displayName="Terms3" ref="G2:L10" totalsRowShown="0">
  <autoFilter ref="G2:L10" xr:uid="{EBB3340D-06F7-45DE-B9AD-01C59205E08A}"/>
  <tableColumns count="6">
    <tableColumn id="1" xr3:uid="{186C3597-380D-4F8A-A90F-61B725B65353}" name="List2"/>
    <tableColumn id="7" xr3:uid="{8E2FF00F-00FC-47E1-90E1-3F7489EBF869}" name="Pterm"/>
    <tableColumn id="6" xr3:uid="{4D76E77B-2663-4631-A365-1E873F670E1B}" name="A"/>
    <tableColumn id="2" xr3:uid="{FA5BB3B8-A8CB-4A36-8D16-F13A31D077B0}" name="B"/>
    <tableColumn id="4" xr3:uid="{A22B84BC-448E-45ED-A3FA-2C1BD7B3A7F5}" name="C"/>
    <tableColumn id="5" xr3:uid="{481BE0DF-24DB-42D1-A716-6BF6CF811229}" name="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L37"/>
  <sheetViews>
    <sheetView tabSelected="1" zoomScaleNormal="100" workbookViewId="0">
      <selection activeCell="D9" sqref="D9"/>
    </sheetView>
  </sheetViews>
  <sheetFormatPr defaultRowHeight="15" x14ac:dyDescent="0.25"/>
  <cols>
    <col min="1" max="1" width="1.7109375" customWidth="1"/>
    <col min="2" max="2" width="33" customWidth="1"/>
    <col min="3" max="3" width="2.140625" customWidth="1"/>
    <col min="4" max="4" width="15.7109375" customWidth="1"/>
    <col min="5" max="5" width="1.42578125" customWidth="1"/>
    <col min="6" max="6" width="15.7109375" customWidth="1"/>
    <col min="7" max="7" width="1.42578125" customWidth="1"/>
    <col min="8" max="9" width="15.7109375" customWidth="1"/>
    <col min="10" max="10" width="1.7109375" customWidth="1"/>
    <col min="12" max="12" width="9.5703125" bestFit="1" customWidth="1"/>
  </cols>
  <sheetData>
    <row r="2" spans="2:8" ht="15.75" thickBot="1" x14ac:dyDescent="0.3"/>
    <row r="3" spans="2:8" ht="15.75" thickTop="1" x14ac:dyDescent="0.25">
      <c r="D3" s="29" t="s">
        <v>13</v>
      </c>
      <c r="E3" s="29"/>
      <c r="F3" s="29"/>
      <c r="G3" s="29"/>
      <c r="H3" s="29"/>
    </row>
    <row r="4" spans="2:8" ht="15.75" thickBot="1" x14ac:dyDescent="0.3">
      <c r="D4" s="30"/>
      <c r="E4" s="30"/>
      <c r="F4" s="30"/>
      <c r="G4" s="30"/>
      <c r="H4" s="30"/>
    </row>
    <row r="5" spans="2:8" ht="15.75" thickTop="1" x14ac:dyDescent="0.25"/>
    <row r="6" spans="2:8" ht="15.75" x14ac:dyDescent="0.25">
      <c r="D6" s="31" t="str">
        <f>IF(OR(OR(ISBLANK(D9),D9=""),OR(ISBLANK(D11),D11=""),OR(ISBLANK(D12),D12="")),"Please enter highlighted fields to continue","")</f>
        <v>Please enter highlighted fields to continue</v>
      </c>
      <c r="E6" s="31"/>
      <c r="F6" s="31"/>
      <c r="G6" s="31"/>
      <c r="H6" s="31"/>
    </row>
    <row r="9" spans="2:8" ht="19.5" thickBot="1" x14ac:dyDescent="0.3">
      <c r="B9" s="7" t="s">
        <v>21</v>
      </c>
      <c r="C9" s="7"/>
      <c r="D9" s="18"/>
      <c r="E9" s="28" t="s">
        <v>10</v>
      </c>
      <c r="F9" s="28"/>
    </row>
    <row r="10" spans="2:8" ht="18.75" x14ac:dyDescent="0.25">
      <c r="B10" s="3"/>
      <c r="C10" s="3"/>
      <c r="D10" s="3"/>
      <c r="E10" s="4"/>
      <c r="F10" s="4"/>
    </row>
    <row r="11" spans="2:8" ht="18.75" x14ac:dyDescent="0.25">
      <c r="B11" s="3" t="s">
        <v>26</v>
      </c>
      <c r="C11" s="3"/>
      <c r="D11" s="19"/>
      <c r="E11" s="4"/>
      <c r="F11" s="4"/>
    </row>
    <row r="12" spans="2:8" ht="18.75" x14ac:dyDescent="0.25">
      <c r="B12" s="3" t="s">
        <v>11</v>
      </c>
      <c r="C12" s="5" t="s">
        <v>8</v>
      </c>
      <c r="D12" s="19"/>
      <c r="E12" s="4"/>
      <c r="F12" s="4"/>
    </row>
    <row r="13" spans="2:8" ht="19.5" thickBot="1" x14ac:dyDescent="0.3">
      <c r="B13" s="3" t="s">
        <v>12</v>
      </c>
      <c r="C13" s="5" t="s">
        <v>9</v>
      </c>
      <c r="D13" s="6" t="str">
        <f>IF(OR((D11+D12)=0,NOT(ISNUMBER(D11+D12))),"",D11+D12)</f>
        <v/>
      </c>
      <c r="E13" s="4"/>
      <c r="F13" s="4"/>
    </row>
    <row r="14" spans="2:8" ht="18.75" x14ac:dyDescent="0.25">
      <c r="B14" s="3"/>
      <c r="C14" s="5"/>
      <c r="D14" s="20"/>
      <c r="E14" s="4"/>
      <c r="F14" s="4"/>
    </row>
    <row r="15" spans="2:8" ht="18.75" x14ac:dyDescent="0.25">
      <c r="B15" s="3"/>
      <c r="C15" s="5"/>
      <c r="D15" s="20"/>
      <c r="E15" s="4"/>
      <c r="F15" s="4"/>
    </row>
    <row r="16" spans="2:8" ht="18.75" customHeight="1" x14ac:dyDescent="0.25"/>
    <row r="17" spans="2:12" ht="23.25" x14ac:dyDescent="0.25">
      <c r="B17" s="32" t="str">
        <f ca="1">IF(AND(ISNUMBER(INDIRECT("D9")),ISNUMBER(INDIRECT("D13"))),"0% Payment Options","")</f>
        <v/>
      </c>
      <c r="C17" s="33"/>
      <c r="D17" s="33"/>
      <c r="E17" s="33"/>
      <c r="F17" s="33"/>
      <c r="G17" s="33"/>
      <c r="H17" s="33"/>
      <c r="I17" s="34"/>
    </row>
    <row r="18" spans="2:12" x14ac:dyDescent="0.25">
      <c r="D18" s="1"/>
      <c r="E18" s="1"/>
      <c r="F18" s="1"/>
      <c r="G18" s="1"/>
      <c r="H18" s="1"/>
      <c r="I18" s="1"/>
    </row>
    <row r="19" spans="2:12" ht="18.75" x14ac:dyDescent="0.3">
      <c r="D19" s="12" t="str">
        <f ca="1">IF(ISBLANK(INDIRECT("D9")),"",0.3)</f>
        <v/>
      </c>
      <c r="E19" s="13"/>
      <c r="F19" s="14" t="str">
        <f ca="1">IF(ISBLANK(INDIRECT("D9")),"",(LOOKUP(D9,Terms[Term],Terms[MinDown]) + 0.05))</f>
        <v/>
      </c>
      <c r="G19" s="13"/>
      <c r="H19" s="14" t="str">
        <f ca="1">IF(ISBLANK(INDIRECT("D9")),"",(LOOKUP(D9,Terms[Term],Terms[MinDown])))</f>
        <v/>
      </c>
      <c r="I19" s="14" t="str">
        <f ca="1">IF(ISBLANK(INDIRECT("D9")),"",0)</f>
        <v/>
      </c>
      <c r="L19" s="2"/>
    </row>
    <row r="20" spans="2:12" x14ac:dyDescent="0.25">
      <c r="D20" s="11" t="str">
        <f ca="1">IF(ISBLANK(INDIRECT("D9")),"","Down")</f>
        <v/>
      </c>
      <c r="E20" s="1"/>
      <c r="F20" s="11" t="str">
        <f ca="1">IF(ISBLANK(INDIRECT("D9")),"","Down")</f>
        <v/>
      </c>
      <c r="G20" s="1"/>
      <c r="H20" s="11" t="str">
        <f ca="1">IF(ISBLANK(INDIRECT("D9")),"","Down")</f>
        <v/>
      </c>
      <c r="I20" s="11" t="str">
        <f ca="1">IF(ISBLANK(INDIRECT("D9")),"","Down*")</f>
        <v/>
      </c>
    </row>
    <row r="21" spans="2:12" ht="4.5" customHeight="1" x14ac:dyDescent="0.25"/>
    <row r="22" spans="2:12" x14ac:dyDescent="0.25">
      <c r="B22" s="8" t="str">
        <f ca="1">IF(AND(ISNUMBER(INDIRECT("D9")),ISNUMBER(INDIRECT("D13"))),"Down Payment Required*","")</f>
        <v/>
      </c>
      <c r="C22" s="8"/>
      <c r="D22" s="9" t="str">
        <f ca="1">IF(AND(ISNUMBER(INDIRECT("D9")),ISNUMBER(INDIRECT("D13"))),ROUND(INDIRECT("D13")*D19,2),"")</f>
        <v/>
      </c>
      <c r="E22" s="9"/>
      <c r="F22" s="9" t="str">
        <f ca="1">IF(AND(ISNUMBER(INDIRECT("D9")),ISNUMBER(INDIRECT("D13"))),ROUND(INDIRECT("D13")*F19,2),"")</f>
        <v/>
      </c>
      <c r="G22" s="9"/>
      <c r="H22" s="9" t="str">
        <f ca="1">IF(AND(ISNUMBER(INDIRECT("D9")),ISNUMBER(INDIRECT("D13"))),ROUND(INDIRECT("D13")*H19,2),"")</f>
        <v/>
      </c>
      <c r="I22" s="9" t="str">
        <f ca="1">IF(AND(ISNUMBER(INDIRECT("D9")),ISNUMBER(INDIRECT("D13"))),ROUND(INDIRECT("D13")*I19,2),"")</f>
        <v/>
      </c>
    </row>
    <row r="23" spans="2:12" x14ac:dyDescent="0.25">
      <c r="B23" s="8" t="str">
        <f ca="1">IF(AND(ISNUMBER(INDIRECT("D9")),ISNUMBER(INDIRECT("D13"))),"Unpaid Balance of Sale Price","")</f>
        <v/>
      </c>
      <c r="C23" s="8"/>
      <c r="D23" s="9" t="str">
        <f ca="1">IF(AND(ISNUMBER(INDIRECT("D9")),ISNUMBER(INDIRECT("D13"))),INDIRECT("D13")-D22,"")</f>
        <v/>
      </c>
      <c r="E23" s="9"/>
      <c r="F23" s="9" t="str">
        <f ca="1">IF(AND(ISNUMBER(INDIRECT("D9")),ISNUMBER(INDIRECT("D13"))),INDIRECT("D13")-F22,"")</f>
        <v/>
      </c>
      <c r="G23" s="9"/>
      <c r="H23" s="9" t="str">
        <f ca="1">IF(AND(ISNUMBER(INDIRECT("D9")),ISNUMBER(INDIRECT("D13"))),INDIRECT("D13")-H22,"")</f>
        <v/>
      </c>
      <c r="I23" s="9" t="str">
        <f ca="1">IF(AND(ISNUMBER(INDIRECT("D9")),ISNUMBER(INDIRECT("D13"))),INDIRECT("D13")-I22,"")</f>
        <v/>
      </c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10" t="str">
        <f ca="1">IF(ISBLANK(INDIRECT("D9")),"","Monthly")</f>
        <v/>
      </c>
      <c r="E25" s="8"/>
      <c r="F25" s="10" t="str">
        <f ca="1">IF(ISBLANK(INDIRECT("D9")),"","Monthly")</f>
        <v/>
      </c>
      <c r="G25" s="8"/>
      <c r="H25" s="10" t="str">
        <f ca="1">IF(ISBLANK(INDIRECT("D9")),"","Monthly")</f>
        <v/>
      </c>
      <c r="I25" s="10" t="str">
        <f ca="1">IF(ISBLANK(INDIRECT("D9")),"","Monthly")</f>
        <v/>
      </c>
    </row>
    <row r="26" spans="2:12" x14ac:dyDescent="0.25">
      <c r="B26" s="10" t="str">
        <f ca="1">IF(ISBLANK(INDIRECT("D9")),"","Repayment Term (# of Payments)")</f>
        <v/>
      </c>
      <c r="C26" s="8"/>
      <c r="D26" s="10" t="str">
        <f ca="1">IF(ISBLANK(INDIRECT("D9")),"","Payment")</f>
        <v/>
      </c>
      <c r="E26" s="8"/>
      <c r="F26" s="10" t="str">
        <f ca="1">IF(ISBLANK(INDIRECT("D9")),"","Payment")</f>
        <v/>
      </c>
      <c r="G26" s="8"/>
      <c r="H26" s="10" t="str">
        <f ca="1">IF(ISBLANK(INDIRECT("D9")),"","Payment")</f>
        <v/>
      </c>
      <c r="I26" s="10" t="str">
        <f ca="1">IF(ISBLANK(INDIRECT("D9")),"","Payment")</f>
        <v/>
      </c>
    </row>
    <row r="27" spans="2:12" ht="6.75" customHeight="1" x14ac:dyDescent="0.25">
      <c r="B27" s="8"/>
      <c r="C27" s="8"/>
      <c r="D27" s="8"/>
      <c r="E27" s="8"/>
      <c r="F27" s="8"/>
      <c r="G27" s="8"/>
      <c r="H27" s="8"/>
      <c r="I27" s="8"/>
    </row>
    <row r="28" spans="2:12" ht="20.100000000000001" customHeight="1" x14ac:dyDescent="0.25">
      <c r="B28" s="16" t="str">
        <f ca="1">IF(ISBLANK(INDIRECT("D9")),"",9)</f>
        <v/>
      </c>
      <c r="C28" s="16"/>
      <c r="D28" s="17" t="str">
        <f ca="1">IF(OR(INDIRECT("D23")="",B28=""),"",ROUND(INDIRECT("D23")/B28,2))</f>
        <v/>
      </c>
      <c r="E28" s="17"/>
      <c r="F28" s="17" t="str">
        <f ca="1">IF(OR(INDIRECT("F23")="",B28=""),"",ROUND(INDIRECT("F23")/B28,2))</f>
        <v/>
      </c>
      <c r="G28" s="17"/>
      <c r="H28" s="17" t="str">
        <f ca="1">IF(OR(INDIRECT("H23")="",B28=""),"",ROUND(INDIRECT("H23")/B28,2))</f>
        <v/>
      </c>
      <c r="I28" s="17" t="str">
        <f ca="1">IF(OR(INDIRECT("I23")="",B28=""),"",ROUND(INDIRECT("I23")/B28,2))</f>
        <v/>
      </c>
    </row>
    <row r="29" spans="2:12" ht="20.100000000000001" customHeight="1" x14ac:dyDescent="0.25">
      <c r="B29" s="16" t="str">
        <f ca="1">IF(ISBLANK(INDIRECT("D9")),"",IF(INDIRECT("D9")&lt;24,"",12))</f>
        <v/>
      </c>
      <c r="C29" s="16"/>
      <c r="D29" s="17" t="str">
        <f t="shared" ref="D29:D32" ca="1" si="0">IF(OR(INDIRECT("D23")="",B29=""),"",ROUND(INDIRECT("D23")/B29,2))</f>
        <v/>
      </c>
      <c r="E29" s="17"/>
      <c r="F29" s="17" t="str">
        <f t="shared" ref="F29:F32" ca="1" si="1">IF(OR(INDIRECT("F23")="",B29=""),"",ROUND(INDIRECT("F23")/B29,2))</f>
        <v/>
      </c>
      <c r="G29" s="17"/>
      <c r="H29" s="17" t="str">
        <f t="shared" ref="H29:H32" ca="1" si="2">IF(OR(INDIRECT("H23")="",B29=""),"",ROUND(INDIRECT("H23")/B29,2))</f>
        <v/>
      </c>
      <c r="I29" s="17" t="str">
        <f t="shared" ref="I29:I35" ca="1" si="3">IF(OR(INDIRECT("I23")="",B29=""),"",ROUND(INDIRECT("I23")/B29,2))</f>
        <v/>
      </c>
    </row>
    <row r="30" spans="2:12" ht="20.100000000000001" customHeight="1" x14ac:dyDescent="0.25">
      <c r="B30" s="16" t="str">
        <f ca="1">IF(ISBLANK(INDIRECT("D9")),"",IF(INDIRECT("D9")&lt;36,"",15))</f>
        <v/>
      </c>
      <c r="C30" s="16"/>
      <c r="D30" s="17" t="str">
        <f t="shared" ca="1" si="0"/>
        <v/>
      </c>
      <c r="E30" s="17"/>
      <c r="F30" s="17" t="str">
        <f t="shared" ca="1" si="1"/>
        <v/>
      </c>
      <c r="G30" s="17"/>
      <c r="H30" s="17" t="str">
        <f t="shared" ca="1" si="2"/>
        <v/>
      </c>
      <c r="I30" s="17" t="str">
        <f t="shared" ca="1" si="3"/>
        <v/>
      </c>
    </row>
    <row r="31" spans="2:12" ht="20.100000000000001" customHeight="1" x14ac:dyDescent="0.25">
      <c r="B31" s="16" t="str">
        <f ca="1">IF(ISBLANK(INDIRECT("D9")),"",IF(INDIRECT("D9")&lt;36,"",18))</f>
        <v/>
      </c>
      <c r="C31" s="16"/>
      <c r="D31" s="17" t="str">
        <f t="shared" ca="1" si="0"/>
        <v/>
      </c>
      <c r="E31" s="17"/>
      <c r="F31" s="17" t="str">
        <f t="shared" ca="1" si="1"/>
        <v/>
      </c>
      <c r="G31" s="17"/>
      <c r="H31" s="17" t="str">
        <f t="shared" ca="1" si="2"/>
        <v/>
      </c>
      <c r="I31" s="17" t="str">
        <f t="shared" ca="1" si="3"/>
        <v/>
      </c>
    </row>
    <row r="32" spans="2:12" ht="20.100000000000001" customHeight="1" x14ac:dyDescent="0.25">
      <c r="B32" s="16" t="str">
        <f ca="1">IF(ISBLANK(INDIRECT("D9")),"",IF(INDIRECT("D9")&lt;48,"",24))</f>
        <v/>
      </c>
      <c r="C32" s="16"/>
      <c r="D32" s="17" t="str">
        <f t="shared" ca="1" si="0"/>
        <v/>
      </c>
      <c r="E32" s="17"/>
      <c r="F32" s="17" t="str">
        <f t="shared" ca="1" si="1"/>
        <v/>
      </c>
      <c r="G32" s="17"/>
      <c r="H32" s="17" t="str">
        <f t="shared" ca="1" si="2"/>
        <v/>
      </c>
      <c r="I32" s="17" t="str">
        <f t="shared" ca="1" si="3"/>
        <v/>
      </c>
    </row>
    <row r="33" spans="2:9" ht="20.100000000000001" customHeight="1" x14ac:dyDescent="0.25">
      <c r="B33" s="16" t="str">
        <f ca="1">IF(ISBLANK(INDIRECT("D9")),"",IF(INDIRECT("D9")&lt;60,"",30))</f>
        <v/>
      </c>
      <c r="C33" s="16"/>
      <c r="D33" s="17" t="str">
        <f t="shared" ref="D33:D35" ca="1" si="4">IF(OR(INDIRECT("D23")="",B33=""),"",ROUND(INDIRECT("D23")/B33,2))</f>
        <v/>
      </c>
      <c r="E33" s="17"/>
      <c r="F33" s="17" t="str">
        <f t="shared" ref="F33:F35" ca="1" si="5">IF(OR(INDIRECT("F23")="",B33=""),"",ROUND(INDIRECT("F23")/B33,2))</f>
        <v/>
      </c>
      <c r="G33" s="17"/>
      <c r="H33" s="17" t="str">
        <f t="shared" ref="H33:H35" ca="1" si="6">IF(OR(INDIRECT("H23")="",B33=""),"",ROUND(INDIRECT("H23")/B33,2))</f>
        <v/>
      </c>
      <c r="I33" s="17" t="str">
        <f t="shared" ca="1" si="3"/>
        <v/>
      </c>
    </row>
    <row r="34" spans="2:9" ht="20.100000000000001" customHeight="1" x14ac:dyDescent="0.25">
      <c r="B34" s="16" t="str">
        <f ca="1">IF(ISBLANK(INDIRECT("D9")),"",IF(INDIRECT("D9")&lt;72,"",36))</f>
        <v/>
      </c>
      <c r="C34" s="16"/>
      <c r="D34" s="17" t="str">
        <f t="shared" ca="1" si="4"/>
        <v/>
      </c>
      <c r="E34" s="17"/>
      <c r="F34" s="17" t="str">
        <f t="shared" ca="1" si="5"/>
        <v/>
      </c>
      <c r="G34" s="17"/>
      <c r="H34" s="17" t="str">
        <f t="shared" ca="1" si="6"/>
        <v/>
      </c>
      <c r="I34" s="17" t="str">
        <f t="shared" ca="1" si="3"/>
        <v/>
      </c>
    </row>
    <row r="35" spans="2:9" ht="20.100000000000001" customHeight="1" x14ac:dyDescent="0.25">
      <c r="B35" s="16" t="str">
        <f ca="1">IF(ISBLANK(INDIRECT("D9")),"",IF(INDIRECT("D9")&lt;84,"",42))</f>
        <v/>
      </c>
      <c r="C35" s="16"/>
      <c r="D35" s="17" t="str">
        <f t="shared" ca="1" si="4"/>
        <v/>
      </c>
      <c r="E35" s="17"/>
      <c r="F35" s="17" t="str">
        <f t="shared" ca="1" si="5"/>
        <v/>
      </c>
      <c r="G35" s="17"/>
      <c r="H35" s="17" t="str">
        <f t="shared" ca="1" si="6"/>
        <v/>
      </c>
      <c r="I35" s="17" t="str">
        <f t="shared" ca="1" si="3"/>
        <v/>
      </c>
    </row>
    <row r="36" spans="2:9" ht="7.5" customHeight="1" x14ac:dyDescent="0.25">
      <c r="B36" s="15"/>
      <c r="C36" s="8"/>
      <c r="D36" s="15"/>
      <c r="E36" s="8"/>
      <c r="F36" s="15"/>
      <c r="G36" s="8"/>
      <c r="H36" s="15"/>
      <c r="I36" s="15"/>
    </row>
    <row r="37" spans="2:9" x14ac:dyDescent="0.25">
      <c r="B37" s="21" t="str">
        <f ca="1">IF(AND(ISNUMBER(INDIRECT("D9")),ISNUMBER(INDIRECT("D13"))),"*Under the 'NO DOWN PAYMENT' program, first payment is due at time of sale.","")</f>
        <v/>
      </c>
    </row>
  </sheetData>
  <sheetProtection algorithmName="SHA-512" hashValue="isaXGPN6186AOgaXINcJvYuaA6gUIQeXLSefySqXmdO6IO4UbtaB8vzmzF2LFCPTomi6tK2DIcROmZsGncpvvw==" saltValue="ls+C4EI5CHfzac0Fr8y2yg==" spinCount="100000" sheet="1" objects="1" scenarios="1" selectLockedCells="1"/>
  <mergeCells count="4">
    <mergeCell ref="E9:F9"/>
    <mergeCell ref="D3:H4"/>
    <mergeCell ref="D6:H6"/>
    <mergeCell ref="B17:I17"/>
  </mergeCells>
  <conditionalFormatting sqref="B17">
    <cfRule type="notContainsBlanks" dxfId="13" priority="5">
      <formula>LEN(TRIM(B17))&gt;0</formula>
    </cfRule>
  </conditionalFormatting>
  <conditionalFormatting sqref="B26 D26 F26 H26:I26">
    <cfRule type="notContainsBlanks" dxfId="12" priority="2">
      <formula>LEN(TRIM(B26))&gt;0</formula>
    </cfRule>
  </conditionalFormatting>
  <conditionalFormatting sqref="D9 D11:D12">
    <cfRule type="containsBlanks" dxfId="11" priority="8">
      <formula>LEN(TRIM(D9))=0</formula>
    </cfRule>
  </conditionalFormatting>
  <conditionalFormatting sqref="D20 F20 H20:I20">
    <cfRule type="notContainsBlanks" dxfId="10" priority="4">
      <formula>LEN(TRIM(D20))&gt;0</formula>
    </cfRule>
  </conditionalFormatting>
  <conditionalFormatting sqref="D23 F23 H23:I23">
    <cfRule type="notContainsBlanks" dxfId="9" priority="3">
      <formula>LEN(TRIM(D23))&gt;0</formula>
    </cfRule>
  </conditionalFormatting>
  <conditionalFormatting sqref="D6:I6">
    <cfRule type="notContainsBlanks" dxfId="8" priority="1">
      <formula>LEN(TRIM(D6))&gt;0</formula>
    </cfRule>
  </conditionalFormatting>
  <dataValidations count="3">
    <dataValidation type="whole" allowBlank="1" showInputMessage="1" showErrorMessage="1" errorTitle="Invalid" error="Protection products less than 12 months coverage are not eligible for financing." promptTitle="Policy Term" prompt="Enter the coverage term (months) of the vehicle protection policy.  If financing multiple policies, enter the shortest term policy that you are selling." sqref="D9" xr:uid="{00000000-0002-0000-0000-000000000000}">
      <formula1>12</formula1>
      <formula2>999</formula2>
    </dataValidation>
    <dataValidation type="decimal" showErrorMessage="1" errorTitle="Invalid" error="Must be a number between .01 and 99999.99" sqref="D11" xr:uid="{00000000-0002-0000-0000-000001000000}">
      <formula1>0.01</formula1>
      <formula2>99999.99</formula2>
    </dataValidation>
    <dataValidation type="decimal" showErrorMessage="1" errorTitle="Invalid" error="Must be a number between .01 and 99999.99" sqref="D12" xr:uid="{00000000-0002-0000-0000-000002000000}">
      <formula1>0</formula1>
      <formula2>99999.99</formula2>
    </dataValidation>
  </dataValidations>
  <pageMargins left="0.7" right="0.7" top="0.75" bottom="0.75" header="0.3" footer="0.3"/>
  <pageSetup scale="86" orientation="portrait" errors="NA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AA9F-73FF-4A77-A1B7-BC9342263BAC}">
  <sheetPr>
    <tabColor rgb="FFC00000"/>
    <pageSetUpPr fitToPage="1"/>
  </sheetPr>
  <dimension ref="B2:L37"/>
  <sheetViews>
    <sheetView zoomScaleNormal="100" workbookViewId="0">
      <selection activeCell="I11" sqref="I11"/>
    </sheetView>
  </sheetViews>
  <sheetFormatPr defaultRowHeight="15" x14ac:dyDescent="0.25"/>
  <cols>
    <col min="1" max="1" width="1.7109375" customWidth="1"/>
    <col min="2" max="2" width="33" customWidth="1"/>
    <col min="3" max="3" width="2.140625" customWidth="1"/>
    <col min="4" max="4" width="15.7109375" customWidth="1"/>
    <col min="5" max="5" width="1.42578125" customWidth="1"/>
    <col min="6" max="6" width="15.7109375" customWidth="1"/>
    <col min="7" max="7" width="1.42578125" customWidth="1"/>
    <col min="8" max="9" width="15.7109375" customWidth="1"/>
    <col min="10" max="10" width="1.7109375" customWidth="1"/>
    <col min="12" max="12" width="9.5703125" bestFit="1" customWidth="1"/>
  </cols>
  <sheetData>
    <row r="2" spans="2:9" ht="15.75" thickBot="1" x14ac:dyDescent="0.3"/>
    <row r="3" spans="2:9" ht="15.75" thickTop="1" x14ac:dyDescent="0.25">
      <c r="D3" s="29" t="s">
        <v>13</v>
      </c>
      <c r="E3" s="29"/>
      <c r="F3" s="29"/>
      <c r="G3" s="29"/>
      <c r="H3" s="29"/>
    </row>
    <row r="4" spans="2:9" ht="15.75" thickBot="1" x14ac:dyDescent="0.3">
      <c r="D4" s="30"/>
      <c r="E4" s="30"/>
      <c r="F4" s="30"/>
      <c r="G4" s="30"/>
      <c r="H4" s="30"/>
    </row>
    <row r="5" spans="2:9" ht="15.75" thickTop="1" x14ac:dyDescent="0.25"/>
    <row r="6" spans="2:9" ht="15.75" x14ac:dyDescent="0.25">
      <c r="D6" s="31" t="str">
        <f>IF(OR(OR(ISBLANK(D9),D9=""),OR(ISBLANK(D11),D11=""),OR(ISBLANK(D12),D12="")),"Please enter highlighted fields to continue","")</f>
        <v/>
      </c>
      <c r="E6" s="31"/>
      <c r="F6" s="31"/>
      <c r="G6" s="31"/>
      <c r="H6" s="31"/>
    </row>
    <row r="9" spans="2:9" ht="19.5" thickBot="1" x14ac:dyDescent="0.3">
      <c r="B9" s="7" t="s">
        <v>21</v>
      </c>
      <c r="C9" s="7"/>
      <c r="D9" s="26">
        <f>'Payment Menu'!D9</f>
        <v>0</v>
      </c>
      <c r="E9" s="28" t="s">
        <v>10</v>
      </c>
      <c r="F9" s="28"/>
    </row>
    <row r="10" spans="2:9" ht="18.75" x14ac:dyDescent="0.25">
      <c r="B10" s="3"/>
      <c r="C10" s="3"/>
      <c r="D10" s="3"/>
      <c r="E10" s="4"/>
      <c r="F10" s="4"/>
    </row>
    <row r="11" spans="2:9" ht="18.75" x14ac:dyDescent="0.25">
      <c r="B11" s="3" t="s">
        <v>26</v>
      </c>
      <c r="C11" s="3"/>
      <c r="D11" s="27">
        <f>'Payment Menu'!D11</f>
        <v>0</v>
      </c>
      <c r="E11" s="4"/>
      <c r="F11" s="4"/>
      <c r="H11" s="22" t="s">
        <v>24</v>
      </c>
      <c r="I11" s="23"/>
    </row>
    <row r="12" spans="2:9" ht="18.75" x14ac:dyDescent="0.25">
      <c r="B12" s="3" t="s">
        <v>11</v>
      </c>
      <c r="C12" s="5" t="s">
        <v>8</v>
      </c>
      <c r="D12" s="27">
        <f>'Payment Menu'!D12</f>
        <v>0</v>
      </c>
      <c r="E12" s="4"/>
      <c r="F12" s="4"/>
    </row>
    <row r="13" spans="2:9" ht="19.5" thickBot="1" x14ac:dyDescent="0.3">
      <c r="B13" s="3" t="s">
        <v>12</v>
      </c>
      <c r="C13" s="5" t="s">
        <v>9</v>
      </c>
      <c r="D13" s="6" t="str">
        <f>IF(OR((D11+D12)=0,NOT(ISNUMBER(D11+D12))),"",D11+D12)</f>
        <v/>
      </c>
      <c r="E13" s="4"/>
      <c r="F13" s="4"/>
    </row>
    <row r="14" spans="2:9" ht="18.75" x14ac:dyDescent="0.25">
      <c r="B14" s="3"/>
      <c r="C14" s="5"/>
      <c r="D14" s="20"/>
      <c r="E14" s="4"/>
      <c r="F14" s="4"/>
    </row>
    <row r="15" spans="2:9" ht="18.75" x14ac:dyDescent="0.25">
      <c r="B15" s="3"/>
      <c r="C15" s="5"/>
      <c r="D15" s="20"/>
      <c r="E15" s="4"/>
      <c r="F15" s="4"/>
    </row>
    <row r="16" spans="2:9" ht="18.75" customHeight="1" x14ac:dyDescent="0.25"/>
    <row r="17" spans="2:12" ht="23.25" x14ac:dyDescent="0.25">
      <c r="B17" s="32" t="str">
        <f ca="1">IF(AND(ISNUMBER(INDIRECT("D9")),ISNUMBER(INDIRECT("D13"))),"0% Payment Options","")</f>
        <v/>
      </c>
      <c r="C17" s="33"/>
      <c r="D17" s="33"/>
      <c r="E17" s="33"/>
      <c r="F17" s="33"/>
      <c r="G17" s="33"/>
      <c r="H17" s="33"/>
      <c r="I17" s="34"/>
    </row>
    <row r="18" spans="2:12" x14ac:dyDescent="0.25">
      <c r="D18" s="1"/>
      <c r="E18" s="1"/>
      <c r="F18" s="1"/>
      <c r="G18" s="1"/>
      <c r="H18" s="1"/>
      <c r="I18" s="1"/>
    </row>
    <row r="19" spans="2:12" ht="18.75" x14ac:dyDescent="0.3">
      <c r="D19" s="12">
        <f ca="1">IF(ISBLANK(INDIRECT("D9")),"",0.3)</f>
        <v>0.3</v>
      </c>
      <c r="E19" s="13"/>
      <c r="F19" s="14" t="e">
        <f ca="1">IF(ISBLANK(INDIRECT("D9")),"",(LOOKUP(D9,Terms[Term],Terms[MinDown]) + 0.05))</f>
        <v>#N/A</v>
      </c>
      <c r="G19" s="13"/>
      <c r="H19" s="14" t="e">
        <f ca="1">IF(ISBLANK(INDIRECT("D9")),"",(LOOKUP(D9,Terms[Term],Terms[MinDown])))</f>
        <v>#N/A</v>
      </c>
      <c r="I19" s="14">
        <f ca="1">IF(ISBLANK(INDIRECT("D9")),"",0)</f>
        <v>0</v>
      </c>
      <c r="K19" s="24"/>
      <c r="L19" s="2"/>
    </row>
    <row r="20" spans="2:12" x14ac:dyDescent="0.25">
      <c r="D20" s="11" t="str">
        <f ca="1">IF(ISBLANK(INDIRECT("D9")),"","Down")</f>
        <v>Down</v>
      </c>
      <c r="E20" s="1"/>
      <c r="F20" s="11" t="str">
        <f ca="1">IF(ISBLANK(INDIRECT("D9")),"","Down")</f>
        <v>Down</v>
      </c>
      <c r="G20" s="1"/>
      <c r="H20" s="11" t="str">
        <f ca="1">IF(ISBLANK(INDIRECT("D9")),"","Down")</f>
        <v>Down</v>
      </c>
      <c r="I20" s="11" t="str">
        <f ca="1">IF(ISBLANK(INDIRECT("D9")),"","Down*")</f>
        <v>Down*</v>
      </c>
    </row>
    <row r="21" spans="2:12" ht="4.5" customHeight="1" x14ac:dyDescent="0.25"/>
    <row r="22" spans="2:12" x14ac:dyDescent="0.25">
      <c r="B22" s="8" t="str">
        <f ca="1">IF(AND(ISNUMBER(INDIRECT("D9")),ISNUMBER(INDIRECT("D13"))),"Down Payment Required*","")</f>
        <v/>
      </c>
      <c r="C22" s="8"/>
      <c r="D22" s="9" t="str">
        <f ca="1">IF(AND(ISNUMBER(INDIRECT("D9")),ISNUMBER(INDIRECT("D13"))),ROUND(INDIRECT("D13")*D19,2),"")</f>
        <v/>
      </c>
      <c r="E22" s="9"/>
      <c r="F22" s="9" t="str">
        <f ca="1">IF(AND(ISNUMBER(INDIRECT("D9")),ISNUMBER(INDIRECT("D13"))),ROUND(INDIRECT("D13")*F19,2),"")</f>
        <v/>
      </c>
      <c r="G22" s="9"/>
      <c r="H22" s="9" t="str">
        <f ca="1">IF(AND(ISNUMBER(INDIRECT("D9")),ISNUMBER(INDIRECT("D13"))),ROUND(INDIRECT("D13")*H19,2),"")</f>
        <v/>
      </c>
      <c r="I22" s="9" t="str">
        <f ca="1">IF(AND(ISNUMBER(INDIRECT("D9")),ISNUMBER(INDIRECT("D13"))),ROUND(INDIRECT("D13")*I19,2),"")</f>
        <v/>
      </c>
    </row>
    <row r="23" spans="2:12" x14ac:dyDescent="0.25">
      <c r="B23" s="8" t="str">
        <f ca="1">IF(AND(ISNUMBER(INDIRECT("D9")),ISNUMBER(INDIRECT("D13"))),"Unpaid Balance of Sale Price","")</f>
        <v/>
      </c>
      <c r="C23" s="8"/>
      <c r="D23" s="9" t="str">
        <f ca="1">IF(AND(ISNUMBER(INDIRECT("D9")),ISNUMBER(INDIRECT("D13"))),INDIRECT("D13")-D22,"")</f>
        <v/>
      </c>
      <c r="E23" s="9"/>
      <c r="F23" s="9" t="str">
        <f ca="1">IF(AND(ISNUMBER(INDIRECT("D9")),ISNUMBER(INDIRECT("D13"))),INDIRECT("D13")-F22,"")</f>
        <v/>
      </c>
      <c r="G23" s="9"/>
      <c r="H23" s="9" t="str">
        <f ca="1">IF(AND(ISNUMBER(INDIRECT("D9")),ISNUMBER(INDIRECT("D13"))),INDIRECT("D13")-H22,"")</f>
        <v/>
      </c>
      <c r="I23" s="9" t="str">
        <f ca="1">IF(AND(ISNUMBER(INDIRECT("D9")),ISNUMBER(INDIRECT("D13"))),INDIRECT("D13")-I22,"")</f>
        <v/>
      </c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10" t="str">
        <f ca="1">IF(ISBLANK(INDIRECT("D9")),"","Dealer Fee")</f>
        <v>Dealer Fee</v>
      </c>
      <c r="E25" s="8"/>
      <c r="F25" s="10" t="str">
        <f ca="1">IF(ISBLANK(INDIRECT("D9")),"","Dealer Fee")</f>
        <v>Dealer Fee</v>
      </c>
      <c r="G25" s="8"/>
      <c r="H25" s="10" t="str">
        <f ca="1">IF(ISBLANK(INDIRECT("D9")),"","Dealer Fee")</f>
        <v>Dealer Fee</v>
      </c>
      <c r="I25" s="10" t="str">
        <f ca="1">IF(ISBLANK(INDIRECT("D9")),"","Dealer Fee")</f>
        <v>Dealer Fee</v>
      </c>
    </row>
    <row r="26" spans="2:12" x14ac:dyDescent="0.25">
      <c r="B26" s="10" t="str">
        <f ca="1">IF(ISBLANK(INDIRECT("D9")),"","Repayment Term (# of Payments)")</f>
        <v>Repayment Term (# of Payments)</v>
      </c>
      <c r="C26" s="8"/>
      <c r="D26" s="10" t="str">
        <f ca="1">IF(ISBLANK(INDIRECT("D9")),"","(Discount)")</f>
        <v>(Discount)</v>
      </c>
      <c r="E26" s="8"/>
      <c r="F26" s="10" t="str">
        <f ca="1">IF(ISBLANK(INDIRECT("D9")),"","(Discount)")</f>
        <v>(Discount)</v>
      </c>
      <c r="G26" s="8"/>
      <c r="H26" s="10" t="str">
        <f ca="1">IF(ISBLANK(INDIRECT("D9")),"","(Discount)")</f>
        <v>(Discount)</v>
      </c>
      <c r="I26" s="10" t="str">
        <f ca="1">IF(ISBLANK(INDIRECT("D9")),"","(Discount)")</f>
        <v>(Discount)</v>
      </c>
    </row>
    <row r="27" spans="2:12" ht="6.75" customHeight="1" x14ac:dyDescent="0.25">
      <c r="B27" s="8"/>
      <c r="C27" s="8"/>
      <c r="D27" s="8"/>
      <c r="E27" s="8"/>
      <c r="F27" s="8"/>
      <c r="G27" s="8"/>
      <c r="H27" s="8"/>
      <c r="I27" s="8"/>
    </row>
    <row r="28" spans="2:12" ht="20.100000000000001" customHeight="1" x14ac:dyDescent="0.25">
      <c r="B28" s="16">
        <f ca="1">IF(ISBLANK(INDIRECT("D9")),"",9)</f>
        <v>9</v>
      </c>
      <c r="C28" s="16"/>
      <c r="D28" s="25" t="str">
        <f ca="1">IF(OR(INDIRECT("D23")="",B28=""),"",CONCATENATE(IF(INDIRECT("D23")&lt;5000,VALUE(CONCATENATE(LOOKUP(B28,Terms3[Pterm],INDIRECT(CONCATENATE("Terms3[",INDIRECT("I11"),"]"))))),IF(INDIRECT("D23")&lt;=6500,VALUE(CONCATENATE(LOOKUP(B28,Terms3[Pterm],INDIRECT(CONCATENATE("Terms3[",INDIRECT("I11"),"]")))-1)),VALUE(CONCATENATE(LOOKUP(B28,Terms3[Pterm],INDIRECT(CONCATENATE("Terms3[",INDIRECT("I11"),"]")))-2)))),"% @ $",ROUND(IF(INDIRECT("D23")&lt;5000,VALUE(CONCATENATE(LOOKUP(B28,Terms3[Pterm],INDIRECT(CONCATENATE("Terms3[",INDIRECT("I11"),"]"))))),IF(INDIRECT("D23")&lt;=6500,VALUE(CONCATENATE(LOOKUP(B28,Terms3[Pterm],INDIRECT(CONCATENATE("Terms3[",INDIRECT("I11"),"]")))-1)),VALUE(CONCATENATE(LOOKUP(B28,Terms3[Pterm],INDIRECT(CONCATENATE("Terms3[",INDIRECT("I11"),"]")))-2))))*INDIRECT("D23")/100,2)))</f>
        <v/>
      </c>
      <c r="E28" s="17"/>
      <c r="F28" s="25" t="str">
        <f ca="1">IF(OR(INDIRECT("F23")="",B28=""),"",CONCATENATE(IF(INDIRECT("F23")&lt;5000,VALUE(CONCATENATE(LOOKUP(B28,Terms3[Pterm],INDIRECT(CONCATENATE("Terms3[",INDIRECT("I11"),"]"))))),IF(INDIRECT("F23")&lt;=6500,VALUE(CONCATENATE(LOOKUP(B28,Terms3[Pterm],INDIRECT(CONCATENATE("Terms3[",INDIRECT("I11"),"]")))-1)),VALUE(CONCATENATE(LOOKUP(B28,Terms3[Pterm],INDIRECT(CONCATENATE("Terms3[",INDIRECT("I11"),"]")))-2)))),"% @ $",ROUND(IF(INDIRECT("F23")&lt;5000,VALUE(CONCATENATE(LOOKUP(B28,Terms3[Pterm],INDIRECT(CONCATENATE("Terms3[",INDIRECT("I11"),"]"))))),IF(INDIRECT("F23")&lt;=6500,VALUE(CONCATENATE(LOOKUP(B28,Terms3[Pterm],INDIRECT(CONCATENATE("Terms3[",INDIRECT("I11"),"]")))-1)),VALUE(CONCATENATE(LOOKUP(B28,Terms3[Pterm],INDIRECT(CONCATENATE("Terms3[",INDIRECT("I11"),"]")))-2))))*INDIRECT("F23")/100,2)))</f>
        <v/>
      </c>
      <c r="G28" s="17"/>
      <c r="H28" s="25" t="str">
        <f ca="1">IF(OR(INDIRECT("H23")="",B28=""),"",CONCATENATE(IF(INDIRECT("H23")&lt;5000,VALUE(CONCATENATE(LOOKUP(B28,Terms3[Pterm],INDIRECT(CONCATENATE("Terms3[",INDIRECT("I11"),"]"))))),IF(INDIRECT("H23")&lt;=6500,VALUE(CONCATENATE(LOOKUP(B28,Terms3[Pterm],INDIRECT(CONCATENATE("Terms3[",INDIRECT("I11"),"]")))-1)),VALUE(CONCATENATE(LOOKUP(B28,Terms3[Pterm],INDIRECT(CONCATENATE("Terms3[",INDIRECT("I11"),"]")))-2)))),"% @ $",ROUND(IF(INDIRECT("H23")&lt;5000,VALUE(CONCATENATE(LOOKUP(B28,Terms3[Pterm],INDIRECT(CONCATENATE("Terms3[",INDIRECT("I11"),"]"))))),IF(INDIRECT("H23")&lt;=6500,VALUE(CONCATENATE(LOOKUP(B28,Terms3[Pterm],INDIRECT(CONCATENATE("Terms3[",INDIRECT("I11"),"]")))-1)),VALUE(CONCATENATE(LOOKUP(B28,Terms3[Pterm],INDIRECT(CONCATENATE("Terms3[",INDIRECT("I11"),"]")))-2))))*INDIRECT("H23")/100,2)))</f>
        <v/>
      </c>
      <c r="I28" s="25" t="str">
        <f ca="1">IF(OR(INDIRECT("I23")="",B28=""),"",CONCATENATE(IF(INDIRECT("I23")&lt;5000,VALUE(CONCATENATE(LOOKUP(B28,Terms3[Pterm],INDIRECT(CONCATENATE("Terms3[",INDIRECT("I11"),"]"))))),IF(INDIRECT("I23")&lt;=6500,VALUE(CONCATENATE(LOOKUP(B28,Terms3[Pterm],INDIRECT(CONCATENATE("Terms3[",INDIRECT("I11"),"]")))-1)),VALUE(CONCATENATE(LOOKUP(B28,Terms3[Pterm],INDIRECT(CONCATENATE("Terms3[",INDIRECT("I11"),"]")))-2)))),"% @ $",ROUND(IF(INDIRECT("I23")&lt;5000,VALUE(CONCATENATE(LOOKUP(B28,Terms3[Pterm],INDIRECT(CONCATENATE("Terms3[",INDIRECT("I11"),"]"))))),IF(INDIRECT("I23")&lt;=6500,VALUE(CONCATENATE(LOOKUP(B28,Terms3[Pterm],INDIRECT(CONCATENATE("Terms3[",INDIRECT("I11"),"]")))-1)),VALUE(CONCATENATE(LOOKUP(B28,Terms3[Pterm],INDIRECT(CONCATENATE("Terms3[",INDIRECT("I11"),"]")))-2))))*INDIRECT("I23")/100,2)))</f>
        <v/>
      </c>
    </row>
    <row r="29" spans="2:12" ht="20.100000000000001" customHeight="1" x14ac:dyDescent="0.25">
      <c r="B29" s="16" t="str">
        <f ca="1">IF(ISBLANK(INDIRECT("D9")),"",IF(INDIRECT("D9")&lt;24,"",12))</f>
        <v/>
      </c>
      <c r="C29" s="16"/>
      <c r="D29" s="25" t="str">
        <f ca="1">IF(OR(INDIRECT("D23")="",B29=""),"",CONCATENATE(IF(INDIRECT("D23")&lt;5000,VALUE(CONCATENATE(LOOKUP(B29,Terms3[Pterm],INDIRECT(CONCATENATE("Terms3[",INDIRECT("I11"),"]"))))),IF(INDIRECT("D23")&lt;=6500,VALUE(CONCATENATE(LOOKUP(B29,Terms3[Pterm],INDIRECT(CONCATENATE("Terms3[",INDIRECT("I11"),"]")))-1)),VALUE(CONCATENATE(LOOKUP(B29,Terms3[Pterm],INDIRECT(CONCATENATE("Terms3[",INDIRECT("I11"),"]")))-2)))),"% @ $",ROUND(IF(INDIRECT("D23")&lt;5000,VALUE(CONCATENATE(LOOKUP(B29,Terms3[Pterm],INDIRECT(CONCATENATE("Terms3[",INDIRECT("I11"),"]"))))),IF(INDIRECT("D23")&lt;=6500,VALUE(CONCATENATE(LOOKUP(B29,Terms3[Pterm],INDIRECT(CONCATENATE("Terms3[",INDIRECT("I11"),"]")))-1)),VALUE(CONCATENATE(LOOKUP(B29,Terms3[Pterm],INDIRECT(CONCATENATE("Terms3[",INDIRECT("I11"),"]")))-2))))*INDIRECT("D23")/100,2)))</f>
        <v/>
      </c>
      <c r="E29" s="17"/>
      <c r="F29" s="25" t="str">
        <f ca="1">IF(OR(INDIRECT("F23")="",B29=""),"",CONCATENATE(IF(INDIRECT("F23")&lt;5000,VALUE(CONCATENATE(LOOKUP(B29,Terms3[Pterm],INDIRECT(CONCATENATE("Terms3[",INDIRECT("I11"),"]"))))),IF(INDIRECT("F23")&lt;=6500,VALUE(CONCATENATE(LOOKUP(B29,Terms3[Pterm],INDIRECT(CONCATENATE("Terms3[",INDIRECT("I11"),"]")))-1)),VALUE(CONCATENATE(LOOKUP(B29,Terms3[Pterm],INDIRECT(CONCATENATE("Terms3[",INDIRECT("I11"),"]")))-2)))),"% @ $",ROUND(IF(INDIRECT("F23")&lt;5000,VALUE(CONCATENATE(LOOKUP(B29,Terms3[Pterm],INDIRECT(CONCATENATE("Terms3[",INDIRECT("I11"),"]"))))),IF(INDIRECT("F23")&lt;=6500,VALUE(CONCATENATE(LOOKUP(B29,Terms3[Pterm],INDIRECT(CONCATENATE("Terms3[",INDIRECT("I11"),"]")))-1)),VALUE(CONCATENATE(LOOKUP(B29,Terms3[Pterm],INDIRECT(CONCATENATE("Terms3[",INDIRECT("I11"),"]")))-2))))*INDIRECT("F23")/100,2)))</f>
        <v/>
      </c>
      <c r="G29" s="17"/>
      <c r="H29" s="25" t="str">
        <f ca="1">IF(OR(INDIRECT("H23")="",B29=""),"",CONCATENATE(IF(INDIRECT("H23")&lt;5000,VALUE(CONCATENATE(LOOKUP(B29,Terms3[Pterm],INDIRECT(CONCATENATE("Terms3[",INDIRECT("I11"),"]"))))),IF(INDIRECT("H23")&lt;=6500,VALUE(CONCATENATE(LOOKUP(B29,Terms3[Pterm],INDIRECT(CONCATENATE("Terms3[",INDIRECT("I11"),"]")))-1)),VALUE(CONCATENATE(LOOKUP(B29,Terms3[Pterm],INDIRECT(CONCATENATE("Terms3[",INDIRECT("I11"),"]")))-2)))),"% @ $",ROUND(IF(INDIRECT("H23")&lt;5000,VALUE(CONCATENATE(LOOKUP(B29,Terms3[Pterm],INDIRECT(CONCATENATE("Terms3[",INDIRECT("I11"),"]"))))),IF(INDIRECT("H23")&lt;=6500,VALUE(CONCATENATE(LOOKUP(B29,Terms3[Pterm],INDIRECT(CONCATENATE("Terms3[",INDIRECT("I11"),"]")))-1)),VALUE(CONCATENATE(LOOKUP(B29,Terms3[Pterm],INDIRECT(CONCATENATE("Terms3[",INDIRECT("I11"),"]")))-2))))*INDIRECT("H23")/100,2)))</f>
        <v/>
      </c>
      <c r="I29" s="25" t="str">
        <f ca="1">IF(OR(INDIRECT("I23")="",B29=""),"",CONCATENATE(IF(INDIRECT("I23")&lt;5000,VALUE(CONCATENATE(LOOKUP(B29,Terms3[Pterm],INDIRECT(CONCATENATE("Terms3[",INDIRECT("I11"),"]"))))),IF(INDIRECT("I23")&lt;=6500,VALUE(CONCATENATE(LOOKUP(B29,Terms3[Pterm],INDIRECT(CONCATENATE("Terms3[",INDIRECT("I11"),"]")))-1)),VALUE(CONCATENATE(LOOKUP(B29,Terms3[Pterm],INDIRECT(CONCATENATE("Terms3[",INDIRECT("I11"),"]")))-2)))),"% @ $",ROUND(IF(INDIRECT("I23")&lt;5000,VALUE(CONCATENATE(LOOKUP(B29,Terms3[Pterm],INDIRECT(CONCATENATE("Terms3[",INDIRECT("I11"),"]"))))),IF(INDIRECT("I23")&lt;=6500,VALUE(CONCATENATE(LOOKUP(B29,Terms3[Pterm],INDIRECT(CONCATENATE("Terms3[",INDIRECT("I11"),"]")))-1)),VALUE(CONCATENATE(LOOKUP(B29,Terms3[Pterm],INDIRECT(CONCATENATE("Terms3[",INDIRECT("I11"),"]")))-2))))*INDIRECT("I23")/100,2)))</f>
        <v/>
      </c>
    </row>
    <row r="30" spans="2:12" ht="20.100000000000001" customHeight="1" x14ac:dyDescent="0.25">
      <c r="B30" s="16" t="str">
        <f ca="1">IF(ISBLANK(INDIRECT("D9")),"",IF(INDIRECT("D9")&lt;36,"",15))</f>
        <v/>
      </c>
      <c r="C30" s="16"/>
      <c r="D30" s="25" t="str">
        <f ca="1">IF(OR(INDIRECT("D23")="",B30=""),"",CONCATENATE(IF(INDIRECT("D23")&lt;5000,VALUE(CONCATENATE(LOOKUP(B30,Terms3[Pterm],INDIRECT(CONCATENATE("Terms3[",INDIRECT("I11"),"]"))))),IF(INDIRECT("D23")&lt;=6500,VALUE(CONCATENATE(LOOKUP(B30,Terms3[Pterm],INDIRECT(CONCATENATE("Terms3[",INDIRECT("I11"),"]")))-1)),VALUE(CONCATENATE(LOOKUP(B30,Terms3[Pterm],INDIRECT(CONCATENATE("Terms3[",INDIRECT("I11"),"]")))-2)))),"% @ $",ROUND(IF(INDIRECT("D23")&lt;5000,VALUE(CONCATENATE(LOOKUP(B30,Terms3[Pterm],INDIRECT(CONCATENATE("Terms3[",INDIRECT("I11"),"]"))))),IF(INDIRECT("D23")&lt;=6500,VALUE(CONCATENATE(LOOKUP(B30,Terms3[Pterm],INDIRECT(CONCATENATE("Terms3[",INDIRECT("I11"),"]")))-1)),VALUE(CONCATENATE(LOOKUP(B30,Terms3[Pterm],INDIRECT(CONCATENATE("Terms3[",INDIRECT("I11"),"]")))-2))))*INDIRECT("D23")/100,2)))</f>
        <v/>
      </c>
      <c r="E30" s="17"/>
      <c r="F30" s="25" t="str">
        <f ca="1">IF(OR(INDIRECT("F23")="",B30=""),"",CONCATENATE(IF(INDIRECT("F23")&lt;5000,VALUE(CONCATENATE(LOOKUP(B30,Terms3[Pterm],INDIRECT(CONCATENATE("Terms3[",INDIRECT("I11"),"]"))))),IF(INDIRECT("F23")&lt;=6500,VALUE(CONCATENATE(LOOKUP(B30,Terms3[Pterm],INDIRECT(CONCATENATE("Terms3[",INDIRECT("I11"),"]")))-1)),VALUE(CONCATENATE(LOOKUP(B30,Terms3[Pterm],INDIRECT(CONCATENATE("Terms3[",INDIRECT("I11"),"]")))-2)))),"% @ $",ROUND(IF(INDIRECT("F23")&lt;5000,VALUE(CONCATENATE(LOOKUP(B30,Terms3[Pterm],INDIRECT(CONCATENATE("Terms3[",INDIRECT("I11"),"]"))))),IF(INDIRECT("F23")&lt;=6500,VALUE(CONCATENATE(LOOKUP(B30,Terms3[Pterm],INDIRECT(CONCATENATE("Terms3[",INDIRECT("I11"),"]")))-1)),VALUE(CONCATENATE(LOOKUP(B30,Terms3[Pterm],INDIRECT(CONCATENATE("Terms3[",INDIRECT("I11"),"]")))-2))))*INDIRECT("F23")/100,2)))</f>
        <v/>
      </c>
      <c r="G30" s="17"/>
      <c r="H30" s="25" t="str">
        <f ca="1">IF(OR(INDIRECT("H23")="",B30=""),"",CONCATENATE(IF(INDIRECT("H23")&lt;5000,VALUE(CONCATENATE(LOOKUP(B30,Terms3[Pterm],INDIRECT(CONCATENATE("Terms3[",INDIRECT("I11"),"]"))))),IF(INDIRECT("H23")&lt;=6500,VALUE(CONCATENATE(LOOKUP(B30,Terms3[Pterm],INDIRECT(CONCATENATE("Terms3[",INDIRECT("I11"),"]")))-1)),VALUE(CONCATENATE(LOOKUP(B30,Terms3[Pterm],INDIRECT(CONCATENATE("Terms3[",INDIRECT("I11"),"]")))-2)))),"% @ $",ROUND(IF(INDIRECT("H23")&lt;5000,VALUE(CONCATENATE(LOOKUP(B30,Terms3[Pterm],INDIRECT(CONCATENATE("Terms3[",INDIRECT("I11"),"]"))))),IF(INDIRECT("H23")&lt;=6500,VALUE(CONCATENATE(LOOKUP(B30,Terms3[Pterm],INDIRECT(CONCATENATE("Terms3[",INDIRECT("I11"),"]")))-1)),VALUE(CONCATENATE(LOOKUP(B30,Terms3[Pterm],INDIRECT(CONCATENATE("Terms3[",INDIRECT("I11"),"]")))-2))))*INDIRECT("H23")/100,2)))</f>
        <v/>
      </c>
      <c r="I30" s="25" t="str">
        <f ca="1">IF(OR(INDIRECT("I23")="",B30=""),"",CONCATENATE(IF(INDIRECT("I23")&lt;5000,VALUE(CONCATENATE(LOOKUP(B30,Terms3[Pterm],INDIRECT(CONCATENATE("Terms3[",INDIRECT("I11"),"]"))))),IF(INDIRECT("I23")&lt;=6500,VALUE(CONCATENATE(LOOKUP(B30,Terms3[Pterm],INDIRECT(CONCATENATE("Terms3[",INDIRECT("I11"),"]")))-1)),VALUE(CONCATENATE(LOOKUP(B30,Terms3[Pterm],INDIRECT(CONCATENATE("Terms3[",INDIRECT("I11"),"]")))-2)))),"% @ $",ROUND(IF(INDIRECT("I23")&lt;5000,VALUE(CONCATENATE(LOOKUP(B30,Terms3[Pterm],INDIRECT(CONCATENATE("Terms3[",INDIRECT("I11"),"]"))))),IF(INDIRECT("I23")&lt;=6500,VALUE(CONCATENATE(LOOKUP(B30,Terms3[Pterm],INDIRECT(CONCATENATE("Terms3[",INDIRECT("I11"),"]")))-1)),VALUE(CONCATENATE(LOOKUP(B30,Terms3[Pterm],INDIRECT(CONCATENATE("Terms3[",INDIRECT("I11"),"]")))-2))))*INDIRECT("I23")/100,2)))</f>
        <v/>
      </c>
    </row>
    <row r="31" spans="2:12" ht="20.100000000000001" customHeight="1" x14ac:dyDescent="0.25">
      <c r="B31" s="16" t="str">
        <f ca="1">IF(ISBLANK(INDIRECT("D9")),"",IF(INDIRECT("D9")&lt;36,"",18))</f>
        <v/>
      </c>
      <c r="C31" s="16"/>
      <c r="D31" s="25" t="str">
        <f ca="1">IF(OR(INDIRECT("D23")="",B31=""),"",CONCATENATE(IF(INDIRECT("D23")&lt;5000,VALUE(CONCATENATE(LOOKUP(B31,Terms3[Pterm],INDIRECT(CONCATENATE("Terms3[",INDIRECT("I11"),"]"))))),IF(INDIRECT("D23")&lt;=6500,VALUE(CONCATENATE(LOOKUP(B31,Terms3[Pterm],INDIRECT(CONCATENATE("Terms3[",INDIRECT("I11"),"]")))-1)),VALUE(CONCATENATE(LOOKUP(B31,Terms3[Pterm],INDIRECT(CONCATENATE("Terms3[",INDIRECT("I11"),"]")))-2)))),"% @ $",ROUND(IF(INDIRECT("D23")&lt;5000,VALUE(CONCATENATE(LOOKUP(B31,Terms3[Pterm],INDIRECT(CONCATENATE("Terms3[",INDIRECT("I11"),"]"))))),IF(INDIRECT("D23")&lt;=6500,VALUE(CONCATENATE(LOOKUP(B31,Terms3[Pterm],INDIRECT(CONCATENATE("Terms3[",INDIRECT("I11"),"]")))-1)),VALUE(CONCATENATE(LOOKUP(B31,Terms3[Pterm],INDIRECT(CONCATENATE("Terms3[",INDIRECT("I11"),"]")))-2))))*INDIRECT("D23")/100,2)))</f>
        <v/>
      </c>
      <c r="E31" s="17"/>
      <c r="F31" s="25" t="str">
        <f ca="1">IF(OR(INDIRECT("F23")="",B31=""),"",CONCATENATE(IF(INDIRECT("F23")&lt;5000,VALUE(CONCATENATE(LOOKUP(B31,Terms3[Pterm],INDIRECT(CONCATENATE("Terms3[",INDIRECT("I11"),"]"))))),IF(INDIRECT("F23")&lt;=6500,VALUE(CONCATENATE(LOOKUP(B31,Terms3[Pterm],INDIRECT(CONCATENATE("Terms3[",INDIRECT("I11"),"]")))-1)),VALUE(CONCATENATE(LOOKUP(B31,Terms3[Pterm],INDIRECT(CONCATENATE("Terms3[",INDIRECT("I11"),"]")))-2)))),"% @ $",ROUND(IF(INDIRECT("F23")&lt;5000,VALUE(CONCATENATE(LOOKUP(B31,Terms3[Pterm],INDIRECT(CONCATENATE("Terms3[",INDIRECT("I11"),"]"))))),IF(INDIRECT("F23")&lt;=6500,VALUE(CONCATENATE(LOOKUP(B31,Terms3[Pterm],INDIRECT(CONCATENATE("Terms3[",INDIRECT("I11"),"]")))-1)),VALUE(CONCATENATE(LOOKUP(B31,Terms3[Pterm],INDIRECT(CONCATENATE("Terms3[",INDIRECT("I11"),"]")))-2))))*INDIRECT("F23")/100,2)))</f>
        <v/>
      </c>
      <c r="G31" s="17"/>
      <c r="H31" s="25" t="str">
        <f ca="1">IF(OR(INDIRECT("H23")="",B31=""),"",CONCATENATE(IF(INDIRECT("H23")&lt;5000,VALUE(CONCATENATE(LOOKUP(B31,Terms3[Pterm],INDIRECT(CONCATENATE("Terms3[",INDIRECT("I11"),"]"))))),IF(INDIRECT("H23")&lt;=6500,VALUE(CONCATENATE(LOOKUP(B31,Terms3[Pterm],INDIRECT(CONCATENATE("Terms3[",INDIRECT("I11"),"]")))-1)),VALUE(CONCATENATE(LOOKUP(B31,Terms3[Pterm],INDIRECT(CONCATENATE("Terms3[",INDIRECT("I11"),"]")))-2)))),"% @ $",ROUND(IF(INDIRECT("H23")&lt;5000,VALUE(CONCATENATE(LOOKUP(B31,Terms3[Pterm],INDIRECT(CONCATENATE("Terms3[",INDIRECT("I11"),"]"))))),IF(INDIRECT("H23")&lt;=6500,VALUE(CONCATENATE(LOOKUP(B31,Terms3[Pterm],INDIRECT(CONCATENATE("Terms3[",INDIRECT("I11"),"]")))-1)),VALUE(CONCATENATE(LOOKUP(B31,Terms3[Pterm],INDIRECT(CONCATENATE("Terms3[",INDIRECT("I11"),"]")))-2))))*INDIRECT("H23")/100,2)))</f>
        <v/>
      </c>
      <c r="I31" s="25" t="str">
        <f ca="1">IF(OR(INDIRECT("I23")="",B31=""),"",CONCATENATE(IF(INDIRECT("I23")&lt;5000,VALUE(CONCATENATE(LOOKUP(B31,Terms3[Pterm],INDIRECT(CONCATENATE("Terms3[",INDIRECT("I11"),"]"))))),IF(INDIRECT("I23")&lt;=6500,VALUE(CONCATENATE(LOOKUP(B31,Terms3[Pterm],INDIRECT(CONCATENATE("Terms3[",INDIRECT("I11"),"]")))-1)),VALUE(CONCATENATE(LOOKUP(B31,Terms3[Pterm],INDIRECT(CONCATENATE("Terms3[",INDIRECT("I11"),"]")))-2)))),"% @ $",ROUND(IF(INDIRECT("I23")&lt;5000,VALUE(CONCATENATE(LOOKUP(B31,Terms3[Pterm],INDIRECT(CONCATENATE("Terms3[",INDIRECT("I11"),"]"))))),IF(INDIRECT("I23")&lt;=6500,VALUE(CONCATENATE(LOOKUP(B31,Terms3[Pterm],INDIRECT(CONCATENATE("Terms3[",INDIRECT("I11"),"]")))-1)),VALUE(CONCATENATE(LOOKUP(B31,Terms3[Pterm],INDIRECT(CONCATENATE("Terms3[",INDIRECT("I11"),"]")))-2))))*INDIRECT("I23")/100,2)))</f>
        <v/>
      </c>
    </row>
    <row r="32" spans="2:12" ht="20.100000000000001" customHeight="1" x14ac:dyDescent="0.25">
      <c r="B32" s="16" t="str">
        <f ca="1">IF(ISBLANK(INDIRECT("D9")),"",IF(INDIRECT("D9")&lt;48,"",24))</f>
        <v/>
      </c>
      <c r="C32" s="16"/>
      <c r="D32" s="25" t="str">
        <f ca="1">IF(OR(INDIRECT("D23")="",B32=""),"",CONCATENATE(IF(INDIRECT("D23")&lt;5000,VALUE(CONCATENATE(LOOKUP(B32,Terms3[Pterm],INDIRECT(CONCATENATE("Terms3[",INDIRECT("I11"),"]"))))),IF(INDIRECT("D23")&lt;=6500,VALUE(CONCATENATE(LOOKUP(B32,Terms3[Pterm],INDIRECT(CONCATENATE("Terms3[",INDIRECT("I11"),"]")))-1)),VALUE(CONCATENATE(LOOKUP(B32,Terms3[Pterm],INDIRECT(CONCATENATE("Terms3[",INDIRECT("I11"),"]")))-2)))),"% @ $",ROUND(IF(INDIRECT("D23")&lt;5000,VALUE(CONCATENATE(LOOKUP(B32,Terms3[Pterm],INDIRECT(CONCATENATE("Terms3[",INDIRECT("I11"),"]"))))),IF(INDIRECT("D23")&lt;=6500,VALUE(CONCATENATE(LOOKUP(B32,Terms3[Pterm],INDIRECT(CONCATENATE("Terms3[",INDIRECT("I11"),"]")))-1)),VALUE(CONCATENATE(LOOKUP(B32,Terms3[Pterm],INDIRECT(CONCATENATE("Terms3[",INDIRECT("I11"),"]")))-2))))*INDIRECT("D23")/100,2)))</f>
        <v/>
      </c>
      <c r="E32" s="17"/>
      <c r="F32" s="25" t="str">
        <f ca="1">IF(OR(INDIRECT("F23")="",B32=""),"",CONCATENATE(IF(INDIRECT("F23")&lt;5000,VALUE(CONCATENATE(LOOKUP(B32,Terms3[Pterm],INDIRECT(CONCATENATE("Terms3[",INDIRECT("I11"),"]"))))),IF(INDIRECT("F23")&lt;=6500,VALUE(CONCATENATE(LOOKUP(B32,Terms3[Pterm],INDIRECT(CONCATENATE("Terms3[",INDIRECT("I11"),"]")))-1)),VALUE(CONCATENATE(LOOKUP(B32,Terms3[Pterm],INDIRECT(CONCATENATE("Terms3[",INDIRECT("I11"),"]")))-2)))),"% @ $",ROUND(IF(INDIRECT("F23")&lt;5000,VALUE(CONCATENATE(LOOKUP(B32,Terms3[Pterm],INDIRECT(CONCATENATE("Terms3[",INDIRECT("I11"),"]"))))),IF(INDIRECT("F23")&lt;=6500,VALUE(CONCATENATE(LOOKUP(B32,Terms3[Pterm],INDIRECT(CONCATENATE("Terms3[",INDIRECT("I11"),"]")))-1)),VALUE(CONCATENATE(LOOKUP(B32,Terms3[Pterm],INDIRECT(CONCATENATE("Terms3[",INDIRECT("I11"),"]")))-2))))*INDIRECT("F23")/100,2)))</f>
        <v/>
      </c>
      <c r="G32" s="17"/>
      <c r="H32" s="25" t="str">
        <f ca="1">IF(OR(INDIRECT("H23")="",B32=""),"",CONCATENATE(IF(INDIRECT("H23")&lt;5000,VALUE(CONCATENATE(LOOKUP(B32,Terms3[Pterm],INDIRECT(CONCATENATE("Terms3[",INDIRECT("I11"),"]"))))),IF(INDIRECT("H23")&lt;=6500,VALUE(CONCATENATE(LOOKUP(B32,Terms3[Pterm],INDIRECT(CONCATENATE("Terms3[",INDIRECT("I11"),"]")))-1)),VALUE(CONCATENATE(LOOKUP(B32,Terms3[Pterm],INDIRECT(CONCATENATE("Terms3[",INDIRECT("I11"),"]")))-2)))),"% @ $",ROUND(IF(INDIRECT("H23")&lt;5000,VALUE(CONCATENATE(LOOKUP(B32,Terms3[Pterm],INDIRECT(CONCATENATE("Terms3[",INDIRECT("I11"),"]"))))),IF(INDIRECT("H23")&lt;=6500,VALUE(CONCATENATE(LOOKUP(B32,Terms3[Pterm],INDIRECT(CONCATENATE("Terms3[",INDIRECT("I11"),"]")))-1)),VALUE(CONCATENATE(LOOKUP(B32,Terms3[Pterm],INDIRECT(CONCATENATE("Terms3[",INDIRECT("I11"),"]")))-2))))*INDIRECT("H23")/100,2)))</f>
        <v/>
      </c>
      <c r="I32" s="25" t="str">
        <f ca="1">IF(OR(INDIRECT("I23")="",B32=""),"",CONCATENATE(IF(INDIRECT("I23")&lt;5000,VALUE(CONCATENATE(LOOKUP(B32,Terms3[Pterm],INDIRECT(CONCATENATE("Terms3[",INDIRECT("I11"),"]"))))),IF(INDIRECT("I23")&lt;=6500,VALUE(CONCATENATE(LOOKUP(B32,Terms3[Pterm],INDIRECT(CONCATENATE("Terms3[",INDIRECT("I11"),"]")))-1)),VALUE(CONCATENATE(LOOKUP(B32,Terms3[Pterm],INDIRECT(CONCATENATE("Terms3[",INDIRECT("I11"),"]")))-2)))),"% @ $",ROUND(IF(INDIRECT("I23")&lt;5000,VALUE(CONCATENATE(LOOKUP(B32,Terms3[Pterm],INDIRECT(CONCATENATE("Terms3[",INDIRECT("I11"),"]"))))),IF(INDIRECT("I23")&lt;=6500,VALUE(CONCATENATE(LOOKUP(B32,Terms3[Pterm],INDIRECT(CONCATENATE("Terms3[",INDIRECT("I11"),"]")))-1)),VALUE(CONCATENATE(LOOKUP(B32,Terms3[Pterm],INDIRECT(CONCATENATE("Terms3[",INDIRECT("I11"),"]")))-2))))*INDIRECT("I23")/100,2)))</f>
        <v/>
      </c>
    </row>
    <row r="33" spans="2:9" ht="20.100000000000001" customHeight="1" x14ac:dyDescent="0.25">
      <c r="B33" s="16" t="str">
        <f ca="1">IF(ISBLANK(INDIRECT("D9")),"",IF(INDIRECT("D9")&lt;60,"",30))</f>
        <v/>
      </c>
      <c r="C33" s="16"/>
      <c r="D33" s="25" t="str">
        <f ca="1">IF(OR(INDIRECT("D23")="",B33=""),"",CONCATENATE(IF(INDIRECT("D23")&lt;5000,VALUE(CONCATENATE(LOOKUP(B33,Terms3[Pterm],INDIRECT(CONCATENATE("Terms3[",INDIRECT("I11"),"]"))))),IF(INDIRECT("D23")&lt;=6500,VALUE(CONCATENATE(LOOKUP(B33,Terms3[Pterm],INDIRECT(CONCATENATE("Terms3[",INDIRECT("I11"),"]")))-1)),VALUE(CONCATENATE(LOOKUP(B33,Terms3[Pterm],INDIRECT(CONCATENATE("Terms3[",INDIRECT("I11"),"]")))-2)))),"% @ $",ROUND(IF(INDIRECT("D23")&lt;5000,VALUE(CONCATENATE(LOOKUP(B33,Terms3[Pterm],INDIRECT(CONCATENATE("Terms3[",INDIRECT("I11"),"]"))))),IF(INDIRECT("D23")&lt;=6500,VALUE(CONCATENATE(LOOKUP(B33,Terms3[Pterm],INDIRECT(CONCATENATE("Terms3[",INDIRECT("I11"),"]")))-1)),VALUE(CONCATENATE(LOOKUP(B33,Terms3[Pterm],INDIRECT(CONCATENATE("Terms3[",INDIRECT("I11"),"]")))-2))))*INDIRECT("D23")/100,2)))</f>
        <v/>
      </c>
      <c r="E33" s="17"/>
      <c r="F33" s="25" t="str">
        <f ca="1">IF(OR(INDIRECT("F23")="",B33=""),"",CONCATENATE(IF(INDIRECT("F23")&lt;5000,VALUE(CONCATENATE(LOOKUP(B33,Terms3[Pterm],INDIRECT(CONCATENATE("Terms3[",INDIRECT("I11"),"]"))))),IF(INDIRECT("F23")&lt;=6500,VALUE(CONCATENATE(LOOKUP(B33,Terms3[Pterm],INDIRECT(CONCATENATE("Terms3[",INDIRECT("I11"),"]")))-1)),VALUE(CONCATENATE(LOOKUP(B33,Terms3[Pterm],INDIRECT(CONCATENATE("Terms3[",INDIRECT("I11"),"]")))-2)))),"% @ $",ROUND(IF(INDIRECT("F23")&lt;5000,VALUE(CONCATENATE(LOOKUP(B33,Terms3[Pterm],INDIRECT(CONCATENATE("Terms3[",INDIRECT("I11"),"]"))))),IF(INDIRECT("F23")&lt;=6500,VALUE(CONCATENATE(LOOKUP(B33,Terms3[Pterm],INDIRECT(CONCATENATE("Terms3[",INDIRECT("I11"),"]")))-1)),VALUE(CONCATENATE(LOOKUP(B33,Terms3[Pterm],INDIRECT(CONCATENATE("Terms3[",INDIRECT("I11"),"]")))-2))))*INDIRECT("F23")/100,2)))</f>
        <v/>
      </c>
      <c r="G33" s="17"/>
      <c r="H33" s="25" t="str">
        <f ca="1">IF(OR(INDIRECT("H23")="",B33=""),"",CONCATENATE(IF(INDIRECT("H23")&lt;5000,VALUE(CONCATENATE(LOOKUP(B33,Terms3[Pterm],INDIRECT(CONCATENATE("Terms3[",INDIRECT("I11"),"]"))))),IF(INDIRECT("H23")&lt;=6500,VALUE(CONCATENATE(LOOKUP(B33,Terms3[Pterm],INDIRECT(CONCATENATE("Terms3[",INDIRECT("I11"),"]")))-1)),VALUE(CONCATENATE(LOOKUP(B33,Terms3[Pterm],INDIRECT(CONCATENATE("Terms3[",INDIRECT("I11"),"]")))-2)))),"% @ $",ROUND(IF(INDIRECT("H23")&lt;5000,VALUE(CONCATENATE(LOOKUP(B33,Terms3[Pterm],INDIRECT(CONCATENATE("Terms3[",INDIRECT("I11"),"]"))))),IF(INDIRECT("H23")&lt;=6500,VALUE(CONCATENATE(LOOKUP(B33,Terms3[Pterm],INDIRECT(CONCATENATE("Terms3[",INDIRECT("I11"),"]")))-1)),VALUE(CONCATENATE(LOOKUP(B33,Terms3[Pterm],INDIRECT(CONCATENATE("Terms3[",INDIRECT("I11"),"]")))-2))))*INDIRECT("H23")/100,2)))</f>
        <v/>
      </c>
      <c r="I33" s="25" t="str">
        <f ca="1">IF(OR(INDIRECT("I23")="",B33=""),"",CONCATENATE(IF(INDIRECT("I23")&lt;5000,VALUE(CONCATENATE(LOOKUP(B33,Terms3[Pterm],INDIRECT(CONCATENATE("Terms3[",INDIRECT("I11"),"]"))))),IF(INDIRECT("I23")&lt;=6500,VALUE(CONCATENATE(LOOKUP(B33,Terms3[Pterm],INDIRECT(CONCATENATE("Terms3[",INDIRECT("I11"),"]")))-1)),VALUE(CONCATENATE(LOOKUP(B33,Terms3[Pterm],INDIRECT(CONCATENATE("Terms3[",INDIRECT("I11"),"]")))-2)))),"% @ $",ROUND(IF(INDIRECT("I23")&lt;5000,VALUE(CONCATENATE(LOOKUP(B33,Terms3[Pterm],INDIRECT(CONCATENATE("Terms3[",INDIRECT("I11"),"]"))))),IF(INDIRECT("I23")&lt;=6500,VALUE(CONCATENATE(LOOKUP(B33,Terms3[Pterm],INDIRECT(CONCATENATE("Terms3[",INDIRECT("I11"),"]")))-1)),VALUE(CONCATENATE(LOOKUP(B33,Terms3[Pterm],INDIRECT(CONCATENATE("Terms3[",INDIRECT("I11"),"]")))-2))))*INDIRECT("I23")/100,2)))</f>
        <v/>
      </c>
    </row>
    <row r="34" spans="2:9" ht="20.100000000000001" customHeight="1" x14ac:dyDescent="0.25">
      <c r="B34" s="16" t="str">
        <f ca="1">IF(ISBLANK(INDIRECT("D9")),"",IF(INDIRECT("D9")&lt;72,"",36))</f>
        <v/>
      </c>
      <c r="C34" s="16"/>
      <c r="D34" s="25" t="str">
        <f ca="1">IF(OR(INDIRECT("D23")="",B34=""),"",CONCATENATE(IF(INDIRECT("D23")&lt;5000,VALUE(CONCATENATE(LOOKUP(B34,Terms3[Pterm],INDIRECT(CONCATENATE("Terms3[",INDIRECT("I11"),"]"))))),IF(INDIRECT("D23")&lt;=6500,VALUE(CONCATENATE(LOOKUP(B34,Terms3[Pterm],INDIRECT(CONCATENATE("Terms3[",INDIRECT("I11"),"]")))-1)),VALUE(CONCATENATE(LOOKUP(B34,Terms3[Pterm],INDIRECT(CONCATENATE("Terms3[",INDIRECT("I11"),"]")))-2)))),"% @ $",ROUND(IF(INDIRECT("D23")&lt;5000,VALUE(CONCATENATE(LOOKUP(B34,Terms3[Pterm],INDIRECT(CONCATENATE("Terms3[",INDIRECT("I11"),"]"))))),IF(INDIRECT("D23")&lt;=6500,VALUE(CONCATENATE(LOOKUP(B34,Terms3[Pterm],INDIRECT(CONCATENATE("Terms3[",INDIRECT("I11"),"]")))-1)),VALUE(CONCATENATE(LOOKUP(B34,Terms3[Pterm],INDIRECT(CONCATENATE("Terms3[",INDIRECT("I11"),"]")))-2))))*INDIRECT("D23")/100,2)))</f>
        <v/>
      </c>
      <c r="E34" s="17"/>
      <c r="F34" s="25" t="str">
        <f ca="1">IF(OR(INDIRECT("F23")="",B34=""),"",CONCATENATE(IF(INDIRECT("F23")&lt;5000,VALUE(CONCATENATE(LOOKUP(B34,Terms3[Pterm],INDIRECT(CONCATENATE("Terms3[",INDIRECT("I11"),"]"))))),IF(INDIRECT("F23")&lt;=6500,VALUE(CONCATENATE(LOOKUP(B34,Terms3[Pterm],INDIRECT(CONCATENATE("Terms3[",INDIRECT("I11"),"]")))-1)),VALUE(CONCATENATE(LOOKUP(B34,Terms3[Pterm],INDIRECT(CONCATENATE("Terms3[",INDIRECT("I11"),"]")))-2)))),"% @ $",ROUND(IF(INDIRECT("F23")&lt;5000,VALUE(CONCATENATE(LOOKUP(B34,Terms3[Pterm],INDIRECT(CONCATENATE("Terms3[",INDIRECT("I11"),"]"))))),IF(INDIRECT("F23")&lt;=6500,VALUE(CONCATENATE(LOOKUP(B34,Terms3[Pterm],INDIRECT(CONCATENATE("Terms3[",INDIRECT("I11"),"]")))-1)),VALUE(CONCATENATE(LOOKUP(B34,Terms3[Pterm],INDIRECT(CONCATENATE("Terms3[",INDIRECT("I11"),"]")))-2))))*INDIRECT("F23")/100,2)))</f>
        <v/>
      </c>
      <c r="G34" s="17"/>
      <c r="H34" s="25" t="str">
        <f ca="1">IF(OR(INDIRECT("H23")="",B34=""),"",CONCATENATE(IF(INDIRECT("H23")&lt;5000,VALUE(CONCATENATE(LOOKUP(B34,Terms3[Pterm],INDIRECT(CONCATENATE("Terms3[",INDIRECT("I11"),"]"))))),IF(INDIRECT("H23")&lt;=6500,VALUE(CONCATENATE(LOOKUP(B34,Terms3[Pterm],INDIRECT(CONCATENATE("Terms3[",INDIRECT("I11"),"]")))-1)),VALUE(CONCATENATE(LOOKUP(B34,Terms3[Pterm],INDIRECT(CONCATENATE("Terms3[",INDIRECT("I11"),"]")))-2)))),"% @ $",ROUND(IF(INDIRECT("H23")&lt;5000,VALUE(CONCATENATE(LOOKUP(B34,Terms3[Pterm],INDIRECT(CONCATENATE("Terms3[",INDIRECT("I11"),"]"))))),IF(INDIRECT("H23")&lt;=6500,VALUE(CONCATENATE(LOOKUP(B34,Terms3[Pterm],INDIRECT(CONCATENATE("Terms3[",INDIRECT("I11"),"]")))-1)),VALUE(CONCATENATE(LOOKUP(B34,Terms3[Pterm],INDIRECT(CONCATENATE("Terms3[",INDIRECT("I11"),"]")))-2))))*INDIRECT("H23")/100,2)))</f>
        <v/>
      </c>
      <c r="I34" s="25" t="str">
        <f ca="1">IF(OR(INDIRECT("I23")="",B34=""),"",CONCATENATE(IF(INDIRECT("I23")&lt;5000,VALUE(CONCATENATE(LOOKUP(B34,Terms3[Pterm],INDIRECT(CONCATENATE("Terms3[",INDIRECT("I11"),"]"))))),IF(INDIRECT("I23")&lt;=6500,VALUE(CONCATENATE(LOOKUP(B34,Terms3[Pterm],INDIRECT(CONCATENATE("Terms3[",INDIRECT("I11"),"]")))-1)),VALUE(CONCATENATE(LOOKUP(B34,Terms3[Pterm],INDIRECT(CONCATENATE("Terms3[",INDIRECT("I11"),"]")))-2)))),"% @ $",ROUND(IF(INDIRECT("I23")&lt;5000,VALUE(CONCATENATE(LOOKUP(B34,Terms3[Pterm],INDIRECT(CONCATENATE("Terms3[",INDIRECT("I11"),"]"))))),IF(INDIRECT("I23")&lt;=6500,VALUE(CONCATENATE(LOOKUP(B34,Terms3[Pterm],INDIRECT(CONCATENATE("Terms3[",INDIRECT("I11"),"]")))-1)),VALUE(CONCATENATE(LOOKUP(B34,Terms3[Pterm],INDIRECT(CONCATENATE("Terms3[",INDIRECT("I11"),"]")))-2))))*INDIRECT("I23")/100,2)))</f>
        <v/>
      </c>
    </row>
    <row r="35" spans="2:9" ht="20.100000000000001" customHeight="1" x14ac:dyDescent="0.25">
      <c r="B35" s="16" t="str">
        <f ca="1">IF(ISBLANK(INDIRECT("D9")),"",IF(INDIRECT("D9")&lt;84,"",42))</f>
        <v/>
      </c>
      <c r="C35" s="16"/>
      <c r="D35" s="25" t="str">
        <f ca="1">IF(OR(INDIRECT("D23")="",B35=""),"",CONCATENATE(IF(INDIRECT("D23")&lt;5000,VALUE(CONCATENATE(LOOKUP(B35,Terms3[Pterm],INDIRECT(CONCATENATE("Terms3[",INDIRECT("I11"),"]"))))),IF(INDIRECT("D23")&lt;=6500,VALUE(CONCATENATE(LOOKUP(B35,Terms3[Pterm],INDIRECT(CONCATENATE("Terms3[",INDIRECT("I11"),"]")))-1)),VALUE(CONCATENATE(LOOKUP(B35,Terms3[Pterm],INDIRECT(CONCATENATE("Terms3[",INDIRECT("I11"),"]")))-2)))),"% @ $",ROUND(IF(INDIRECT("D23")&lt;5000,VALUE(CONCATENATE(LOOKUP(B35,Terms3[Pterm],INDIRECT(CONCATENATE("Terms3[",INDIRECT("I11"),"]"))))),IF(INDIRECT("D23")&lt;=6500,VALUE(CONCATENATE(LOOKUP(B35,Terms3[Pterm],INDIRECT(CONCATENATE("Terms3[",INDIRECT("I11"),"]")))-1)),VALUE(CONCATENATE(LOOKUP(B35,Terms3[Pterm],INDIRECT(CONCATENATE("Terms3[",INDIRECT("I11"),"]")))-2))))*INDIRECT("D23")/100,2)))</f>
        <v/>
      </c>
      <c r="E35" s="17"/>
      <c r="F35" s="25" t="str">
        <f ca="1">IF(OR(INDIRECT("F23")="",B35=""),"",CONCATENATE(IF(INDIRECT("F23")&lt;5000,VALUE(CONCATENATE(LOOKUP(B35,Terms3[Pterm],INDIRECT(CONCATENATE("Terms3[",INDIRECT("I11"),"]"))))),IF(INDIRECT("F23")&lt;=6500,VALUE(CONCATENATE(LOOKUP(B35,Terms3[Pterm],INDIRECT(CONCATENATE("Terms3[",INDIRECT("I11"),"]")))-1)),VALUE(CONCATENATE(LOOKUP(B35,Terms3[Pterm],INDIRECT(CONCATENATE("Terms3[",INDIRECT("I11"),"]")))-2)))),"% @ $",ROUND(IF(INDIRECT("F23")&lt;5000,VALUE(CONCATENATE(LOOKUP(B35,Terms3[Pterm],INDIRECT(CONCATENATE("Terms3[",INDIRECT("I11"),"]"))))),IF(INDIRECT("F23")&lt;=6500,VALUE(CONCATENATE(LOOKUP(B35,Terms3[Pterm],INDIRECT(CONCATENATE("Terms3[",INDIRECT("I11"),"]")))-1)),VALUE(CONCATENATE(LOOKUP(B35,Terms3[Pterm],INDIRECT(CONCATENATE("Terms3[",INDIRECT("I11"),"]")))-2))))*INDIRECT("F23")/100,2)))</f>
        <v/>
      </c>
      <c r="G35" s="17"/>
      <c r="H35" s="25" t="str">
        <f ca="1">IF(OR(INDIRECT("H23")="",B35=""),"",CONCATENATE(IF(INDIRECT("H23")&lt;5000,VALUE(CONCATENATE(LOOKUP(B35,Terms3[Pterm],INDIRECT(CONCATENATE("Terms3[",INDIRECT("I11"),"]"))))),IF(INDIRECT("H23")&lt;=6500,VALUE(CONCATENATE(LOOKUP(B35,Terms3[Pterm],INDIRECT(CONCATENATE("Terms3[",INDIRECT("I11"),"]")))-1)),VALUE(CONCATENATE(LOOKUP(B35,Terms3[Pterm],INDIRECT(CONCATENATE("Terms3[",INDIRECT("I11"),"]")))-2)))),"% @ $",ROUND(IF(INDIRECT("H23")&lt;5000,VALUE(CONCATENATE(LOOKUP(B35,Terms3[Pterm],INDIRECT(CONCATENATE("Terms3[",INDIRECT("I11"),"]"))))),IF(INDIRECT("H23")&lt;=6500,VALUE(CONCATENATE(LOOKUP(B35,Terms3[Pterm],INDIRECT(CONCATENATE("Terms3[",INDIRECT("I11"),"]")))-1)),VALUE(CONCATENATE(LOOKUP(B35,Terms3[Pterm],INDIRECT(CONCATENATE("Terms3[",INDIRECT("I11"),"]")))-2))))*INDIRECT("H23")/100,2)))</f>
        <v/>
      </c>
      <c r="I35" s="25" t="str">
        <f ca="1">IF(OR(INDIRECT("I23")="",B35=""),"",CONCATENATE(IF(INDIRECT("I23")&lt;5000,VALUE(CONCATENATE(LOOKUP(B35,Terms3[Pterm],INDIRECT(CONCATENATE("Terms3[",INDIRECT("I11"),"]"))))),IF(INDIRECT("I23")&lt;=6500,VALUE(CONCATENATE(LOOKUP(B35,Terms3[Pterm],INDIRECT(CONCATENATE("Terms3[",INDIRECT("I11"),"]")))-1)),VALUE(CONCATENATE(LOOKUP(B35,Terms3[Pterm],INDIRECT(CONCATENATE("Terms3[",INDIRECT("I11"),"]")))-2)))),"% @ $",ROUND(IF(INDIRECT("I23")&lt;5000,VALUE(CONCATENATE(LOOKUP(B35,Terms3[Pterm],INDIRECT(CONCATENATE("Terms3[",INDIRECT("I11"),"]"))))),IF(INDIRECT("I23")&lt;=6500,VALUE(CONCATENATE(LOOKUP(B35,Terms3[Pterm],INDIRECT(CONCATENATE("Terms3[",INDIRECT("I11"),"]")))-1)),VALUE(CONCATENATE(LOOKUP(B35,Terms3[Pterm],INDIRECT(CONCATENATE("Terms3[",INDIRECT("I11"),"]")))-2))))*INDIRECT("I23")/100,2)))</f>
        <v/>
      </c>
    </row>
    <row r="36" spans="2:9" ht="7.5" customHeight="1" x14ac:dyDescent="0.25">
      <c r="B36" s="15"/>
      <c r="C36" s="8"/>
      <c r="D36" s="15"/>
      <c r="E36" s="8"/>
      <c r="F36" s="15"/>
      <c r="G36" s="8"/>
      <c r="H36" s="15"/>
      <c r="I36" s="15"/>
    </row>
    <row r="37" spans="2:9" x14ac:dyDescent="0.25">
      <c r="B37" s="21" t="str">
        <f ca="1">IF(AND(ISNUMBER(INDIRECT("D9")),ISNUMBER(INDIRECT("D13"))),"*Under the 'NO DOWN PAYMENT' program, first payment is due at time of sale.","")</f>
        <v/>
      </c>
    </row>
  </sheetData>
  <sheetProtection algorithmName="SHA-512" hashValue="0ue8PSR2dg35CrP8/8Kh+vIxa6RQWh/rvyz0kEsHi/TTzpvLB0BIJ+4RpWr9q4j14wVqxWdAWcO/SG6Xj/ez/Q==" saltValue="qOpkkyChBEC2mdvxJoKwhw==" spinCount="100000" sheet="1" objects="1" scenarios="1" selectLockedCells="1"/>
  <mergeCells count="4">
    <mergeCell ref="D3:H4"/>
    <mergeCell ref="D6:H6"/>
    <mergeCell ref="E9:F9"/>
    <mergeCell ref="B17:I17"/>
  </mergeCells>
  <conditionalFormatting sqref="B17">
    <cfRule type="notContainsBlanks" dxfId="7" priority="8">
      <formula>LEN(TRIM(B17))&gt;0</formula>
    </cfRule>
  </conditionalFormatting>
  <conditionalFormatting sqref="B26 D26 F26 H26:I26">
    <cfRule type="notContainsBlanks" dxfId="6" priority="5">
      <formula>LEN(TRIM(B26))&gt;0</formula>
    </cfRule>
  </conditionalFormatting>
  <conditionalFormatting sqref="D9">
    <cfRule type="containsBlanks" dxfId="5" priority="1">
      <formula>LEN(TRIM(D9))=0</formula>
    </cfRule>
  </conditionalFormatting>
  <conditionalFormatting sqref="D11:D12">
    <cfRule type="containsBlanks" dxfId="4" priority="9">
      <formula>LEN(TRIM(D11))=0</formula>
    </cfRule>
  </conditionalFormatting>
  <conditionalFormatting sqref="D20 F20 H20:I20">
    <cfRule type="notContainsBlanks" dxfId="3" priority="7">
      <formula>LEN(TRIM(D20))&gt;0</formula>
    </cfRule>
  </conditionalFormatting>
  <conditionalFormatting sqref="D23 F23 H23:I23">
    <cfRule type="notContainsBlanks" dxfId="2" priority="6">
      <formula>LEN(TRIM(D23))&gt;0</formula>
    </cfRule>
  </conditionalFormatting>
  <conditionalFormatting sqref="D6:I6">
    <cfRule type="notContainsBlanks" dxfId="1" priority="4">
      <formula>LEN(TRIM(D6))&gt;0</formula>
    </cfRule>
  </conditionalFormatting>
  <conditionalFormatting sqref="I11">
    <cfRule type="containsBlanks" dxfId="0" priority="3">
      <formula>LEN(TRIM(I11))=0</formula>
    </cfRule>
  </conditionalFormatting>
  <dataValidations count="4">
    <dataValidation type="decimal" showErrorMessage="1" errorTitle="Invalid" error="Must be a number between .01 and 99999.99" sqref="D12" xr:uid="{3FC2E2A0-6DA2-4739-B99C-71D76D949DFC}">
      <formula1>0</formula1>
      <formula2>99999.99</formula2>
    </dataValidation>
    <dataValidation type="decimal" showErrorMessage="1" errorTitle="Invalid" error="Must be a number between .01 and 99999.99" sqref="D11" xr:uid="{3AB5772B-C803-4E75-8EE7-0F103AB3F1FE}">
      <formula1>0.01</formula1>
      <formula2>99999.99</formula2>
    </dataValidation>
    <dataValidation type="whole" allowBlank="1" showInputMessage="1" showErrorMessage="1" errorTitle="Invalid" error="Protection products less than 12 months coverage are not eligible for financing." promptTitle="Policy Term" prompt="Enter the coverage term (months) of the vehicle protection policy.  If financing multiple policies, enter the shortest term policy that you are selling." sqref="D9" xr:uid="{97F70D94-C34E-4656-BE85-97DC4BB5D794}">
      <formula1>12</formula1>
      <formula2>999</formula2>
    </dataValidation>
    <dataValidation type="list" showDropDown="1" showInputMessage="1" showErrorMessage="1" errorTitle="Invalid" error="Must be a Level A thu D" promptTitle="Dlr Fee Level" prompt="Enter your dealer fee level (A,B,C,D) based on average volume." sqref="I11" xr:uid="{86B4011A-138B-4DFC-AAD8-0D1A13462580}">
      <formula1>"A,B,C,D"</formula1>
    </dataValidation>
  </dataValidations>
  <pageMargins left="0.7" right="0.7" top="0.75" bottom="0.75" header="0.3" footer="0.3"/>
  <pageSetup scale="86" orientation="portrait" errors="NA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"/>
  <sheetViews>
    <sheetView workbookViewId="0">
      <selection activeCell="D9" sqref="D9"/>
    </sheetView>
  </sheetViews>
  <sheetFormatPr defaultRowHeight="15" x14ac:dyDescent="0.25"/>
  <cols>
    <col min="3" max="3" width="16.42578125" customWidth="1"/>
    <col min="4" max="4" width="11.42578125" customWidth="1"/>
    <col min="5" max="5" width="11.85546875" customWidth="1"/>
  </cols>
  <sheetData>
    <row r="2" spans="1:12" x14ac:dyDescent="0.25">
      <c r="A2" t="s">
        <v>22</v>
      </c>
      <c r="B2" t="s">
        <v>1</v>
      </c>
      <c r="C2" t="s">
        <v>0</v>
      </c>
      <c r="D2" t="s">
        <v>2</v>
      </c>
      <c r="E2" t="s">
        <v>3</v>
      </c>
      <c r="G2" t="s">
        <v>23</v>
      </c>
      <c r="H2" t="s">
        <v>20</v>
      </c>
      <c r="I2" t="s">
        <v>16</v>
      </c>
      <c r="J2" t="s">
        <v>17</v>
      </c>
      <c r="K2" t="s">
        <v>18</v>
      </c>
      <c r="L2" t="s">
        <v>19</v>
      </c>
    </row>
    <row r="3" spans="1:12" x14ac:dyDescent="0.25">
      <c r="A3">
        <v>1</v>
      </c>
      <c r="B3">
        <v>12</v>
      </c>
      <c r="C3" t="s">
        <v>4</v>
      </c>
      <c r="D3">
        <v>9</v>
      </c>
      <c r="E3">
        <v>0.2</v>
      </c>
      <c r="G3">
        <v>1</v>
      </c>
      <c r="H3">
        <v>9</v>
      </c>
      <c r="I3">
        <v>9</v>
      </c>
      <c r="J3">
        <v>7</v>
      </c>
      <c r="K3">
        <v>6</v>
      </c>
      <c r="L3">
        <v>5</v>
      </c>
    </row>
    <row r="4" spans="1:12" x14ac:dyDescent="0.25">
      <c r="A4">
        <v>2</v>
      </c>
      <c r="B4">
        <v>24</v>
      </c>
      <c r="C4" t="s">
        <v>5</v>
      </c>
      <c r="D4">
        <v>12</v>
      </c>
      <c r="E4">
        <v>0.15</v>
      </c>
      <c r="G4">
        <v>2</v>
      </c>
      <c r="H4">
        <v>12</v>
      </c>
      <c r="I4">
        <v>11</v>
      </c>
      <c r="J4">
        <v>9</v>
      </c>
      <c r="K4">
        <v>8</v>
      </c>
      <c r="L4">
        <v>7</v>
      </c>
    </row>
    <row r="5" spans="1:12" x14ac:dyDescent="0.25">
      <c r="A5">
        <v>3</v>
      </c>
      <c r="B5">
        <v>36</v>
      </c>
      <c r="C5" t="s">
        <v>6</v>
      </c>
      <c r="D5">
        <v>18</v>
      </c>
      <c r="E5">
        <v>0.1</v>
      </c>
      <c r="G5">
        <v>3</v>
      </c>
      <c r="H5">
        <v>15</v>
      </c>
      <c r="I5">
        <v>13</v>
      </c>
      <c r="J5">
        <v>11</v>
      </c>
      <c r="K5">
        <v>10</v>
      </c>
      <c r="L5">
        <v>9</v>
      </c>
    </row>
    <row r="6" spans="1:12" x14ac:dyDescent="0.25">
      <c r="A6">
        <v>4</v>
      </c>
      <c r="B6">
        <v>48</v>
      </c>
      <c r="C6" t="s">
        <v>7</v>
      </c>
      <c r="D6">
        <v>24</v>
      </c>
      <c r="E6">
        <v>0.1</v>
      </c>
      <c r="G6">
        <v>4</v>
      </c>
      <c r="H6">
        <v>18</v>
      </c>
      <c r="I6">
        <v>14</v>
      </c>
      <c r="J6">
        <v>12</v>
      </c>
      <c r="K6">
        <v>11</v>
      </c>
      <c r="L6">
        <v>10</v>
      </c>
    </row>
    <row r="7" spans="1:12" x14ac:dyDescent="0.25">
      <c r="A7">
        <v>5</v>
      </c>
      <c r="B7">
        <v>60</v>
      </c>
      <c r="C7" t="s">
        <v>25</v>
      </c>
      <c r="D7">
        <v>30</v>
      </c>
      <c r="E7">
        <v>0.1</v>
      </c>
      <c r="G7">
        <v>5</v>
      </c>
      <c r="H7">
        <v>24</v>
      </c>
      <c r="I7">
        <v>17</v>
      </c>
      <c r="J7">
        <v>15</v>
      </c>
      <c r="K7">
        <v>14</v>
      </c>
      <c r="L7">
        <v>13</v>
      </c>
    </row>
    <row r="8" spans="1:12" x14ac:dyDescent="0.25">
      <c r="A8">
        <v>6</v>
      </c>
      <c r="B8">
        <v>72</v>
      </c>
      <c r="C8" t="s">
        <v>14</v>
      </c>
      <c r="D8">
        <v>36</v>
      </c>
      <c r="E8">
        <v>0.1</v>
      </c>
      <c r="G8">
        <v>6</v>
      </c>
      <c r="H8">
        <v>30</v>
      </c>
      <c r="I8">
        <v>19</v>
      </c>
      <c r="J8">
        <v>17</v>
      </c>
      <c r="K8">
        <v>16</v>
      </c>
      <c r="L8">
        <v>15</v>
      </c>
    </row>
    <row r="9" spans="1:12" x14ac:dyDescent="0.25">
      <c r="A9">
        <v>7</v>
      </c>
      <c r="B9">
        <v>84</v>
      </c>
      <c r="C9" t="s">
        <v>15</v>
      </c>
      <c r="D9">
        <v>42</v>
      </c>
      <c r="E9">
        <v>0.1</v>
      </c>
      <c r="G9">
        <v>7</v>
      </c>
      <c r="H9">
        <v>36</v>
      </c>
      <c r="I9">
        <v>21</v>
      </c>
      <c r="J9">
        <v>19</v>
      </c>
      <c r="K9">
        <v>17</v>
      </c>
      <c r="L9">
        <v>16</v>
      </c>
    </row>
    <row r="10" spans="1:12" x14ac:dyDescent="0.25">
      <c r="G10">
        <v>8</v>
      </c>
      <c r="H10">
        <v>42</v>
      </c>
      <c r="I10">
        <v>22</v>
      </c>
      <c r="J10">
        <v>20</v>
      </c>
      <c r="K10">
        <v>18</v>
      </c>
      <c r="L10">
        <v>17</v>
      </c>
    </row>
  </sheetData>
  <sheetProtection selectLockedCells="1" selectUnlockedCell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Payment Menu</vt:lpstr>
      <vt:lpstr>Dlr Fee Menu</vt:lpstr>
      <vt:lpstr>Terms</vt:lpstr>
      <vt:lpstr>'Dlr Fee Menu'!Print_Area</vt:lpstr>
      <vt:lpstr>'Payment Menu'!Print_Area</vt:lpstr>
    </vt:vector>
  </TitlesOfParts>
  <Company>Universal Lenders LLC</Company>
  <LinksUpToDate>false</LinksUpToDate>
  <SharedDoc>false</SharedDoc>
  <HyperlinkBase>http://www.the-zero-plan.com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Zero Plan Payment Menu</dc:title>
  <dc:creator>Mike Edwards</dc:creator>
  <cp:lastModifiedBy>Mike Edwards</cp:lastModifiedBy>
  <cp:lastPrinted>2018-06-25T18:12:57Z</cp:lastPrinted>
  <dcterms:created xsi:type="dcterms:W3CDTF">2018-02-08T19:21:25Z</dcterms:created>
  <dcterms:modified xsi:type="dcterms:W3CDTF">2023-09-26T19:30:36Z</dcterms:modified>
</cp:coreProperties>
</file>